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5" windowWidth="14400" windowHeight="12750" tabRatio="706" activeTab="3"/>
  </bookViews>
  <sheets>
    <sheet name="Risk" sheetId="1" r:id="rId1"/>
    <sheet name="Rates Calculation" sheetId="2" r:id="rId2"/>
    <sheet name="Review" sheetId="3" r:id="rId3"/>
    <sheet name="Strategy" sheetId="4" r:id="rId4"/>
    <sheet name="Summary" sheetId="5" r:id="rId5"/>
    <sheet name="Operating Statement" sheetId="6" r:id="rId6"/>
    <sheet name="Balance Sheet" sheetId="7" r:id="rId7"/>
    <sheet name="Cash Flow" sheetId="8" r:id="rId8"/>
    <sheet name="Capital Data" sheetId="9" r:id="rId9"/>
    <sheet name="Capital Summary" sheetId="10" r:id="rId10"/>
    <sheet name="DCP History" sheetId="11" r:id="rId11"/>
  </sheets>
  <definedNames>
    <definedName name="_xlnm._FilterDatabase" localSheetId="8" hidden="1">'Capital Data'!$A$6:$T$976</definedName>
    <definedName name="_xlfn.SUMIFS" hidden="1">#NAME?</definedName>
    <definedName name="_xlnm.Print_Titles" localSheetId="6">'Balance Sheet'!$A:$A</definedName>
    <definedName name="_xlnm.Print_Titles" localSheetId="7">'Cash Flow'!$A:$A</definedName>
    <definedName name="_xlnm.Print_Titles" localSheetId="5">'Operating Statement'!$A:$A,'Operating Statement'!$9:$11</definedName>
    <definedName name="_xlnm.Print_Titles" localSheetId="2">'Review'!$1:$2</definedName>
    <definedName name="_xlnm.Print_Titles" localSheetId="4">'Summary'!$A:$A,'Summary'!$1:$5</definedName>
  </definedNames>
  <calcPr fullCalcOnLoad="1"/>
</workbook>
</file>

<file path=xl/comments6.xml><?xml version="1.0" encoding="utf-8"?>
<comments xmlns="http://schemas.openxmlformats.org/spreadsheetml/2006/main">
  <authors>
    <author>kalliog</author>
    <author>Glenn Kallio</author>
  </authors>
  <commentList>
    <comment ref="L23" authorId="0">
      <text>
        <r>
          <rPr>
            <b/>
            <sz val="8"/>
            <rFont val="Tahoma"/>
            <family val="2"/>
          </rPr>
          <t>kalliog:</t>
        </r>
        <r>
          <rPr>
            <sz val="8"/>
            <rFont val="Tahoma"/>
            <family val="2"/>
          </rPr>
          <t xml:space="preserve">
Allowed $1000K to cover expected errors.
</t>
        </r>
      </text>
    </comment>
    <comment ref="L32" authorId="0">
      <text>
        <r>
          <rPr>
            <b/>
            <sz val="8"/>
            <rFont val="Tahoma"/>
            <family val="2"/>
          </rPr>
          <t>kalliog:</t>
        </r>
        <r>
          <rPr>
            <sz val="8"/>
            <rFont val="Tahoma"/>
            <family val="2"/>
          </rPr>
          <t xml:space="preserve">
May forecast incorrect.
</t>
        </r>
      </text>
    </comment>
    <comment ref="S56" authorId="1">
      <text>
        <r>
          <rPr>
            <b/>
            <sz val="9"/>
            <rFont val="Tahoma"/>
            <family val="2"/>
          </rPr>
          <t>Glenn Kallio:</t>
        </r>
        <r>
          <rPr>
            <sz val="9"/>
            <rFont val="Tahoma"/>
            <family val="2"/>
          </rPr>
          <t xml:space="preserve">
Allowance for superannuation contribution
</t>
        </r>
      </text>
    </comment>
  </commentList>
</comments>
</file>

<file path=xl/sharedStrings.xml><?xml version="1.0" encoding="utf-8"?>
<sst xmlns="http://schemas.openxmlformats.org/spreadsheetml/2006/main" count="9992" uniqueCount="527">
  <si>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</si>
  <si>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</si>
  <si>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</si>
  <si>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</si>
  <si>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</si>
  <si>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</si>
  <si>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</si>
  <si>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</si>
  <si>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</si>
  <si>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Long Term Financial Plan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</si>
  <si>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</si>
  <si>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</si>
  <si>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</si>
  <si>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</si>
  <si>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</si>
  <si>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</si>
  <si>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</si>
  <si>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</si>
  <si>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</si>
  <si>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</si>
  <si>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($'000)</t>
  </si>
  <si>
    <t>Revenue:</t>
  </si>
  <si>
    <t>Rate Revenue</t>
  </si>
  <si>
    <t>Reimbursements</t>
  </si>
  <si>
    <t>Expense:</t>
  </si>
  <si>
    <t>Employee Costs</t>
  </si>
  <si>
    <t>Materials &amp; Contracts</t>
  </si>
  <si>
    <t>Depreciation</t>
  </si>
  <si>
    <t>Other Expense</t>
  </si>
  <si>
    <t>Surplus/(Deficit)</t>
  </si>
  <si>
    <t>Loan Redemption</t>
  </si>
  <si>
    <t>Loan Funds</t>
  </si>
  <si>
    <t>Cash Movement</t>
  </si>
  <si>
    <t>Cash at start</t>
  </si>
  <si>
    <t>Cash at end</t>
  </si>
  <si>
    <t>Rate Collection Deficit</t>
  </si>
  <si>
    <t>Debt Servicing Costs to Total Revenue</t>
  </si>
  <si>
    <t>Total Debt to Rate Revenue</t>
  </si>
  <si>
    <t>Cash</t>
  </si>
  <si>
    <t>Receivables</t>
  </si>
  <si>
    <t>Investments</t>
  </si>
  <si>
    <t>Other</t>
  </si>
  <si>
    <t>Creditors</t>
  </si>
  <si>
    <t>Borrowings</t>
  </si>
  <si>
    <t>Provisions</t>
  </si>
  <si>
    <t>Current Assets:</t>
  </si>
  <si>
    <t>Current Liabilities:</t>
  </si>
  <si>
    <t>Total Current Liabilities:</t>
  </si>
  <si>
    <t>Non-Current Assets:</t>
  </si>
  <si>
    <t>Total Non-Current Assets</t>
  </si>
  <si>
    <t>Non-Current Liabilities:</t>
  </si>
  <si>
    <t>Net Assets</t>
  </si>
  <si>
    <t>Total Non-Current Liabilities</t>
  </si>
  <si>
    <t>Net Current Assets</t>
  </si>
  <si>
    <t>Total Current Assets</t>
  </si>
  <si>
    <t>Capital Assets</t>
  </si>
  <si>
    <t>Payments</t>
  </si>
  <si>
    <t xml:space="preserve">  Interest and other costs of finance</t>
  </si>
  <si>
    <t>Receipts</t>
  </si>
  <si>
    <t xml:space="preserve">  General Rates </t>
  </si>
  <si>
    <t xml:space="preserve">  Interest</t>
  </si>
  <si>
    <t xml:space="preserve">  Reimbursements</t>
  </si>
  <si>
    <t xml:space="preserve">  Other revenue</t>
  </si>
  <si>
    <t>Payments for:</t>
  </si>
  <si>
    <t xml:space="preserve">  Loans and Advances</t>
  </si>
  <si>
    <t xml:space="preserve">Proceeds from </t>
  </si>
  <si>
    <t>Proceeds from borrowings</t>
  </si>
  <si>
    <t>Repayment of superannuation</t>
  </si>
  <si>
    <t>Repayment of borrowings</t>
  </si>
  <si>
    <t>Cashflow From Operating Activities:</t>
  </si>
  <si>
    <t>Net Cashflow From Operating Activities</t>
  </si>
  <si>
    <t>Cashflow From Investing Activities:</t>
  </si>
  <si>
    <t>Net Cashflow From Investing Activities</t>
  </si>
  <si>
    <t>Cashflow From Financing Activities:</t>
  </si>
  <si>
    <t>Net Cashflow From Financing Activities</t>
  </si>
  <si>
    <t>Net Increase/(Decrease) in Cash Held</t>
  </si>
  <si>
    <t>Cash at Beginning of Period</t>
  </si>
  <si>
    <t>Cash at End of Period</t>
  </si>
  <si>
    <t>Equity B/F</t>
  </si>
  <si>
    <t>Equity C/F</t>
  </si>
  <si>
    <t>Proceeds from Sales</t>
  </si>
  <si>
    <t>Carry Amount of Sales</t>
  </si>
  <si>
    <t>Abnormal</t>
  </si>
  <si>
    <t>Reserve Adjsutment</t>
  </si>
  <si>
    <t>Yr -1</t>
  </si>
  <si>
    <t>Yr -2</t>
  </si>
  <si>
    <t xml:space="preserve">  Capital Payments</t>
  </si>
  <si>
    <t xml:space="preserve">  Sale of Assets</t>
  </si>
  <si>
    <t>Yr -3</t>
  </si>
  <si>
    <t xml:space="preserve">  Investments</t>
  </si>
  <si>
    <t>Yr -4</t>
  </si>
  <si>
    <t>Yr -5</t>
  </si>
  <si>
    <t>Total Revenue</t>
  </si>
  <si>
    <t>Total Expenditure</t>
  </si>
  <si>
    <t>Current Assets</t>
  </si>
  <si>
    <t>Current Liabilities</t>
  </si>
  <si>
    <t>Working Capital</t>
  </si>
  <si>
    <t>Working Capital Ratio</t>
  </si>
  <si>
    <t>Total Debt</t>
  </si>
  <si>
    <t>Cash Levels</t>
  </si>
  <si>
    <t>Minimum Cash Levels</t>
  </si>
  <si>
    <t>Working Capital Base Level</t>
  </si>
  <si>
    <t>Debt Servicing Ceiling Level</t>
  </si>
  <si>
    <t>Capital Expenditure (Gross)</t>
  </si>
  <si>
    <t>Summary</t>
  </si>
  <si>
    <t>01/02</t>
  </si>
  <si>
    <t>00/01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</si>
  <si>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</si>
  <si>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</si>
  <si>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</si>
  <si>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</si>
  <si>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</si>
  <si>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</si>
  <si>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</si>
  <si>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</si>
  <si>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Yr -7</t>
  </si>
  <si>
    <t>Yr -6</t>
  </si>
  <si>
    <t>10/11</t>
  </si>
  <si>
    <t>11/12</t>
  </si>
  <si>
    <t>Sundry Creditor Movement</t>
  </si>
  <si>
    <t>Statement of Financial Position</t>
  </si>
  <si>
    <t>Statement of Cashflows</t>
  </si>
  <si>
    <t>Debt Servicing Costs to Rate Revenue</t>
  </si>
  <si>
    <t>Total Expenditure less depreciation</t>
  </si>
  <si>
    <t>Total Debt Related Payments to Rate Revenue</t>
  </si>
  <si>
    <t>Net Internal Charges</t>
  </si>
  <si>
    <t>99/00</t>
  </si>
  <si>
    <t>12/13</t>
  </si>
  <si>
    <t>94/95</t>
  </si>
  <si>
    <t>95/96</t>
  </si>
  <si>
    <t>96/97</t>
  </si>
  <si>
    <t>97/98</t>
  </si>
  <si>
    <t>98/99</t>
  </si>
  <si>
    <t>Total Capital</t>
  </si>
  <si>
    <t>Debt Movement</t>
  </si>
  <si>
    <t>Yr 11</t>
  </si>
  <si>
    <t>Yr 12</t>
  </si>
  <si>
    <t>Yr 13</t>
  </si>
  <si>
    <t>Yr 14</t>
  </si>
  <si>
    <t>Yr 15</t>
  </si>
  <si>
    <t>Yr 16</t>
  </si>
  <si>
    <t>Yr 17</t>
  </si>
  <si>
    <t>Yr 18</t>
  </si>
  <si>
    <t>Yr 19</t>
  </si>
  <si>
    <t>Yr 20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</si>
  <si>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</si>
  <si>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</si>
  <si>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</si>
  <si>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</si>
  <si>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</si>
  <si>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</si>
  <si>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</si>
  <si>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</si>
  <si>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</si>
  <si>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</si>
  <si>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Net GST Refund</t>
  </si>
  <si>
    <t>Proposed Draft</t>
  </si>
  <si>
    <t>Total Borrowings</t>
  </si>
  <si>
    <t>Super Liability</t>
  </si>
  <si>
    <t>Yr -8</t>
  </si>
  <si>
    <t>Yr -0</t>
  </si>
  <si>
    <t>Operating Statement Cash Balance</t>
  </si>
  <si>
    <t>Debt (inc super)</t>
  </si>
  <si>
    <t>Excess Cash</t>
  </si>
  <si>
    <t>City of Ballarat:- LTFP</t>
  </si>
  <si>
    <t>Year</t>
  </si>
  <si>
    <t>Yr -9</t>
  </si>
  <si>
    <t>Forecast</t>
  </si>
  <si>
    <t>Rate Revenue / Total Revenue</t>
  </si>
  <si>
    <t>Fees &amp; Charges / Total Revenue</t>
  </si>
  <si>
    <t>Balance Sheet Cash Balance</t>
  </si>
  <si>
    <t>Year 1</t>
  </si>
  <si>
    <t>Year 2</t>
  </si>
  <si>
    <t>Year 3</t>
  </si>
  <si>
    <t>Year 4</t>
  </si>
  <si>
    <t>Year 5</t>
  </si>
  <si>
    <t>Year 6</t>
  </si>
  <si>
    <t>23/24</t>
  </si>
  <si>
    <t>24/25</t>
  </si>
  <si>
    <t>Yr -10</t>
  </si>
  <si>
    <t>Yr -11</t>
  </si>
  <si>
    <t>Yr -12</t>
  </si>
  <si>
    <t>25/26</t>
  </si>
  <si>
    <t>26/27</t>
  </si>
  <si>
    <t>Minimum Cash Levels Required</t>
  </si>
  <si>
    <t>Total Expenditure less depreciation - %  Movement</t>
  </si>
  <si>
    <t>Government Grants (Operating)</t>
  </si>
  <si>
    <t>Grant / Total Revenue</t>
  </si>
  <si>
    <t>Yr -13</t>
  </si>
  <si>
    <t>Growth - Employee Costs</t>
  </si>
  <si>
    <t>Growth - Materials &amp; Contracts</t>
  </si>
  <si>
    <t>27/28</t>
  </si>
  <si>
    <t>Rate %</t>
  </si>
  <si>
    <t>Min Cash</t>
  </si>
  <si>
    <t>WC</t>
  </si>
  <si>
    <t>Assumptions:</t>
  </si>
  <si>
    <t>Operating</t>
  </si>
  <si>
    <t>Inflation Rate:</t>
  </si>
  <si>
    <t>Liquidity</t>
  </si>
  <si>
    <t>Underlying Result %</t>
  </si>
  <si>
    <t>Self Financing</t>
  </si>
  <si>
    <t>Indebtedness</t>
  </si>
  <si>
    <t>Investment Gap</t>
  </si>
  <si>
    <t>Undrlying Revenue</t>
  </si>
  <si>
    <t>Underlying Surplus</t>
  </si>
  <si>
    <t>Underlying Exp</t>
  </si>
  <si>
    <t>Net Operating Cashflows</t>
  </si>
  <si>
    <t>Own Sourced Revenue</t>
  </si>
  <si>
    <t>Debt</t>
  </si>
  <si>
    <t>Inflation</t>
  </si>
  <si>
    <t>Investment Gap Surplus / (Deficit)</t>
  </si>
  <si>
    <t>Employee Costs Increase:</t>
  </si>
  <si>
    <t>Material &amp; Contracts increase:</t>
  </si>
  <si>
    <t>Other Expenses increase:</t>
  </si>
  <si>
    <t>Margin</t>
  </si>
  <si>
    <t>Increase in Investments in Associations</t>
  </si>
  <si>
    <t>Interest and other costs of finance</t>
  </si>
  <si>
    <t>Growth - Fees</t>
  </si>
  <si>
    <t>Underlying Result</t>
  </si>
  <si>
    <t>28/29</t>
  </si>
  <si>
    <t>29/30</t>
  </si>
  <si>
    <t>30/31</t>
  </si>
  <si>
    <t>31/32</t>
  </si>
  <si>
    <t>32/33</t>
  </si>
  <si>
    <t>33/34</t>
  </si>
  <si>
    <t>Growth</t>
  </si>
  <si>
    <t>Year 16</t>
  </si>
  <si>
    <t>Year 17</t>
  </si>
  <si>
    <t>Year 18</t>
  </si>
  <si>
    <t>Year 19</t>
  </si>
  <si>
    <t>Year 20</t>
  </si>
  <si>
    <t>Y</t>
  </si>
  <si>
    <t>Bad and Doubtful Debts</t>
  </si>
  <si>
    <t>Capital</t>
  </si>
  <si>
    <t>Capital Growth</t>
  </si>
  <si>
    <t>Fees</t>
  </si>
  <si>
    <t>Rate Increase</t>
  </si>
  <si>
    <t>Rate Revenue Growth</t>
  </si>
  <si>
    <t>Employee Costs / Rate Revenue</t>
  </si>
  <si>
    <t>Materials &amp; Contracts / Rate Revenue</t>
  </si>
  <si>
    <t>Combined Expenditure / Rate Revenue</t>
  </si>
  <si>
    <t>Trust Funds &amp; Deposits</t>
  </si>
  <si>
    <t>minimum cash level</t>
  </si>
  <si>
    <t>Long Term Financial Strategy Risk Profile</t>
  </si>
  <si>
    <t>34/35</t>
  </si>
  <si>
    <t xml:space="preserve"> </t>
  </si>
  <si>
    <t>Additional Recurrent:</t>
  </si>
  <si>
    <t>Capital Works:</t>
  </si>
  <si>
    <t>Core Program</t>
  </si>
  <si>
    <t xml:space="preserve"> Increased service levels</t>
  </si>
  <si>
    <t>Statutory Fees &amp; Fines</t>
  </si>
  <si>
    <t>User Fees</t>
  </si>
  <si>
    <t>Grants Operating</t>
  </si>
  <si>
    <t>Grants Capital</t>
  </si>
  <si>
    <t>Contributions - Monetary</t>
  </si>
  <si>
    <t>Contributions - Non Monetary</t>
  </si>
  <si>
    <t>Interest Income</t>
  </si>
  <si>
    <t>Other Income</t>
  </si>
  <si>
    <t>Borrowing Costs</t>
  </si>
  <si>
    <t>Total Reserve Funds</t>
  </si>
  <si>
    <t>Adjusted Cash at end</t>
  </si>
  <si>
    <t>Working Capital Ratio (Adjusted)</t>
  </si>
  <si>
    <t xml:space="preserve"> - Balance Bought Forward</t>
  </si>
  <si>
    <t>Capital Income:</t>
  </si>
  <si>
    <t>Net Capital</t>
  </si>
  <si>
    <t>2015/16</t>
  </si>
  <si>
    <t>2014/15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</si>
  <si>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</si>
  <si>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</si>
  <si>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</si>
  <si>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</si>
  <si>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</si>
  <si>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</si>
  <si>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</si>
  <si>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</si>
  <si>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</si>
  <si>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</si>
  <si>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</si>
  <si>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</si>
  <si>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</si>
  <si>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</si>
  <si>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</si>
  <si>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</si>
  <si>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</si>
  <si>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</si>
  <si>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</si>
  <si>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Non-Core Program</t>
  </si>
  <si>
    <t>Contributions - Monetary (Subdivision)</t>
  </si>
  <si>
    <t>Expenditure</t>
  </si>
  <si>
    <t>Income</t>
  </si>
  <si>
    <t>DCP - Funded Projects</t>
  </si>
  <si>
    <t>DCP - Council Funded Projects</t>
  </si>
  <si>
    <t>Fee Increase</t>
  </si>
  <si>
    <t xml:space="preserve">  Payment to Employees</t>
  </si>
  <si>
    <t xml:space="preserve">  Payment to Suppliers</t>
  </si>
  <si>
    <t>Other payments</t>
  </si>
  <si>
    <t xml:space="preserve">  Grants Operating</t>
  </si>
  <si>
    <t xml:space="preserve">  Grants Capital</t>
  </si>
  <si>
    <t xml:space="preserve">  User Fees</t>
  </si>
  <si>
    <t xml:space="preserve">  Statutory Fees and fines</t>
  </si>
  <si>
    <t xml:space="preserve">  Contributions Monetary</t>
  </si>
  <si>
    <t xml:space="preserve">  Trust Funds</t>
  </si>
  <si>
    <t xml:space="preserve">  Fire Services Levy</t>
  </si>
  <si>
    <t>2035/36</t>
  </si>
  <si>
    <t>City of Ballarat</t>
  </si>
  <si>
    <t>Capital Budget</t>
  </si>
  <si>
    <t>Indexation Rate:</t>
  </si>
  <si>
    <t>Year No</t>
  </si>
  <si>
    <t>Department</t>
  </si>
  <si>
    <t>Responsible Officer</t>
  </si>
  <si>
    <t>Category</t>
  </si>
  <si>
    <t>Asset Type</t>
  </si>
  <si>
    <t>Approval</t>
  </si>
  <si>
    <t>Core</t>
  </si>
  <si>
    <t>Inexed</t>
  </si>
  <si>
    <t>Project Description</t>
  </si>
  <si>
    <t>Gross</t>
  </si>
  <si>
    <t>Grants</t>
  </si>
  <si>
    <t>Subdivision</t>
  </si>
  <si>
    <t>Sale Funds</t>
  </si>
  <si>
    <t>Net</t>
  </si>
  <si>
    <t>Comment</t>
  </si>
  <si>
    <t>Recreation Manager</t>
  </si>
  <si>
    <t>Plant, machinery and equipment</t>
  </si>
  <si>
    <t>Renewal</t>
  </si>
  <si>
    <t>Yes</t>
  </si>
  <si>
    <t>N</t>
  </si>
  <si>
    <t>BAC Programmable Assets &amp; Equipment</t>
  </si>
  <si>
    <t>Steve Van Orsouw</t>
  </si>
  <si>
    <t>Parks, open space and streetscapes</t>
  </si>
  <si>
    <t>Ballarat Botanical Gardens - Asset Renewal Program</t>
  </si>
  <si>
    <t>Ross Cowie</t>
  </si>
  <si>
    <t>Footpaths and cycleways</t>
  </si>
  <si>
    <t>Bicycle Paths</t>
  </si>
  <si>
    <t>New</t>
  </si>
  <si>
    <t>Bicycle Strategy Projects</t>
  </si>
  <si>
    <t>Bridges</t>
  </si>
  <si>
    <t>Bridge Rehabilitation</t>
  </si>
  <si>
    <t>Other Infrastructure</t>
  </si>
  <si>
    <t>Bus Shelter repair and replacement</t>
  </si>
  <si>
    <t>City Entrances</t>
  </si>
  <si>
    <t>Business Services</t>
  </si>
  <si>
    <t>Stuart Meerbach</t>
  </si>
  <si>
    <t>Computers and Telecommunications</t>
  </si>
  <si>
    <t>Desktop Replacement Program</t>
  </si>
  <si>
    <t>Drainage</t>
  </si>
  <si>
    <t xml:space="preserve">Drainage Projects </t>
  </si>
  <si>
    <t>Chris Hutton</t>
  </si>
  <si>
    <t>Building improvements</t>
  </si>
  <si>
    <t>Facility Renewal Program</t>
  </si>
  <si>
    <t>Roads</t>
  </si>
  <si>
    <t>Federal Blackspot Funding</t>
  </si>
  <si>
    <t>I</t>
  </si>
  <si>
    <t>Federal Roads to Recovery Funding</t>
  </si>
  <si>
    <t>Footpath Works</t>
  </si>
  <si>
    <t>People &amp; Communities</t>
  </si>
  <si>
    <t>Ann Pitt</t>
  </si>
  <si>
    <t>Home carers - Hand Held PDA</t>
  </si>
  <si>
    <t>People &amp; Communites</t>
  </si>
  <si>
    <t>IT Infrastructure Strategy</t>
  </si>
  <si>
    <t>Upgrade</t>
  </si>
  <si>
    <t>IT System Development</t>
  </si>
  <si>
    <t xml:space="preserve">Kerb and channelling </t>
  </si>
  <si>
    <t>Land Development Council Contribution</t>
  </si>
  <si>
    <t>Waste</t>
  </si>
  <si>
    <t>Waste management</t>
  </si>
  <si>
    <t>Landfill Upgrade</t>
  </si>
  <si>
    <t>Jenny Fink</t>
  </si>
  <si>
    <t>Library books</t>
  </si>
  <si>
    <t>Library Books</t>
  </si>
  <si>
    <t>Major New Capital Road Projects</t>
  </si>
  <si>
    <t>Major Rural Roads Infrastructure Works</t>
  </si>
  <si>
    <t>Median Strip Landscaping Project</t>
  </si>
  <si>
    <t>Minor Road improvements /upgrades</t>
  </si>
  <si>
    <t>Monument Renewal Program</t>
  </si>
  <si>
    <t>Recreational, leisure and community facilities</t>
  </si>
  <si>
    <t>Outdoor Pools</t>
  </si>
  <si>
    <t>Amy Boyd</t>
  </si>
  <si>
    <t>Parking Meter Replacement Program</t>
  </si>
  <si>
    <t>Parks Development Program</t>
  </si>
  <si>
    <t>Kevin Hamm</t>
  </si>
  <si>
    <t>Plant Replacement Program</t>
  </si>
  <si>
    <t>Playground Improvement Program</t>
  </si>
  <si>
    <t>Playspace Planning Framework</t>
  </si>
  <si>
    <t>City Strategy</t>
  </si>
  <si>
    <t>Arts &amp; Culture</t>
  </si>
  <si>
    <t>Public Art Program</t>
  </si>
  <si>
    <t>Public Place Recycling</t>
  </si>
  <si>
    <t>Recreation Capital Improvement Program</t>
  </si>
  <si>
    <t>Replacement Bins Program</t>
  </si>
  <si>
    <t>Road Renewal</t>
  </si>
  <si>
    <t>School Crossing Supervisor Shelters</t>
  </si>
  <si>
    <t>Street Furniture Renewal Program</t>
  </si>
  <si>
    <t>Street Irrigation Project</t>
  </si>
  <si>
    <t>Terry Demeo</t>
  </si>
  <si>
    <t>Subdivision Contribution</t>
  </si>
  <si>
    <t>Sharelle Knight</t>
  </si>
  <si>
    <t>Fixtures, fittings and furniture</t>
  </si>
  <si>
    <t>Air conditioning/split system Sebas MCH</t>
  </si>
  <si>
    <t>CEO Policy and Support</t>
  </si>
  <si>
    <t>Jeff Pulford</t>
  </si>
  <si>
    <t>Art Gallery of Ballarat</t>
  </si>
  <si>
    <t>Ballarat Regional Soccer Capital completion</t>
  </si>
  <si>
    <t>Ballarat Sports &amp; Events Centre Upgrade</t>
  </si>
  <si>
    <t>Ballarat West Employment Zone</t>
  </si>
  <si>
    <t>Black Hill Reserve</t>
  </si>
  <si>
    <t>Blinds for Ballarat Library children's section</t>
  </si>
  <si>
    <t>Buninyong Early Years Centre completion of yard</t>
  </si>
  <si>
    <t>CE Brown Upgrade</t>
  </si>
  <si>
    <t>Covers Eureka Pool</t>
  </si>
  <si>
    <t>Governance &amp; Information Services</t>
  </si>
  <si>
    <t>Customer Service</t>
  </si>
  <si>
    <t>Customer Service Front Area Improvement</t>
  </si>
  <si>
    <t>DCP Construction</t>
  </si>
  <si>
    <t>Buildings</t>
  </si>
  <si>
    <t>DCPConstruction-Council</t>
  </si>
  <si>
    <t>DCPConstruction-WIK</t>
  </si>
  <si>
    <t>Land</t>
  </si>
  <si>
    <t>DCP-Land-WIK</t>
  </si>
  <si>
    <t>Cameron Duthie</t>
  </si>
  <si>
    <t>Eureka Caravan Park Fire Service Upgrade</t>
  </si>
  <si>
    <t>Eureka Stadium AFL Upgrade</t>
  </si>
  <si>
    <t>Fernery</t>
  </si>
  <si>
    <t>Whole of Organisation</t>
  </si>
  <si>
    <t>Glenn Kallio</t>
  </si>
  <si>
    <t>Furniture Replacement</t>
  </si>
  <si>
    <t>Her Majesties Theatre</t>
  </si>
  <si>
    <t>Immunisation - Fridge repalcement</t>
  </si>
  <si>
    <t>Maree Povey</t>
  </si>
  <si>
    <t>Kohinoor - Furniture &amp; fittings replacement</t>
  </si>
  <si>
    <t>LED Street Lights</t>
  </si>
  <si>
    <t>Lucas Community Hub</t>
  </si>
  <si>
    <t>Mining Exchange</t>
  </si>
  <si>
    <t>MOW Distribution Centre - 1525</t>
  </si>
  <si>
    <t>Public Toilet</t>
  </si>
  <si>
    <t>Railway Precinct</t>
  </si>
  <si>
    <t>Redevelopment of Occassional Cares playground</t>
  </si>
  <si>
    <t>Regional Motorsport Facility</t>
  </si>
  <si>
    <t>Bill Cook</t>
  </si>
  <si>
    <t>Relief/Recovery Centre Equipment</t>
  </si>
  <si>
    <t>Replacement of Blinds- Sebastopol MCH</t>
  </si>
  <si>
    <t>Replacement of outdated baby scales</t>
  </si>
  <si>
    <t>RFID maintenance</t>
  </si>
  <si>
    <t>Sebastopol Library</t>
  </si>
  <si>
    <t>Natalie Reiter</t>
  </si>
  <si>
    <t>Street Guards in Sturt Street</t>
  </si>
  <si>
    <t>Wendouree Children's Centre grounds</t>
  </si>
  <si>
    <t>Core Capital</t>
  </si>
  <si>
    <t>Non Core Capital</t>
  </si>
  <si>
    <t>Reserve</t>
  </si>
  <si>
    <t>DCP</t>
  </si>
  <si>
    <t>Ballarat Aquatic Centre</t>
  </si>
  <si>
    <t>Plant and Equipment</t>
  </si>
  <si>
    <t>Balhausen Organ</t>
  </si>
  <si>
    <t>Subdividers Contribution</t>
  </si>
  <si>
    <t>Developer Contributions</t>
  </si>
  <si>
    <t>Developer Contribution Scheme Debt per yr</t>
  </si>
  <si>
    <t>Developer Contribution Scheme Debt Accum.</t>
  </si>
  <si>
    <t>Reserve Funds (Balance)</t>
  </si>
  <si>
    <t>Reserve Funds (Yr Movement)</t>
  </si>
  <si>
    <t>DCPConstruction - Council Commitment - DI_DR_BU/CP</t>
  </si>
  <si>
    <t>DCPConstruction - Council Commitment - DI_OS_6</t>
  </si>
  <si>
    <t>DCPLand-Council</t>
  </si>
  <si>
    <t>DCPConstruction - Council Commitment - DI_OS_1</t>
  </si>
  <si>
    <t>DCPConstruction - Council Commitment - DI_OS_7</t>
  </si>
  <si>
    <t>IT Infrastructure</t>
  </si>
  <si>
    <t>DCPConstruction - Council Commitment</t>
  </si>
  <si>
    <t>DCPConstruction - Council Commitment - WIK</t>
  </si>
  <si>
    <t xml:space="preserve">DCPConstruction - Council Commitment </t>
  </si>
  <si>
    <t>City Services</t>
  </si>
  <si>
    <t>2016/17 LTFS</t>
  </si>
  <si>
    <t>Year 0</t>
  </si>
  <si>
    <t>DCP - Funded Projects - WIK</t>
  </si>
  <si>
    <t>Contributions - Non-Monetary (DCP)</t>
  </si>
  <si>
    <t>Rounding Adjustment</t>
  </si>
  <si>
    <t>Contributions - Monetary (DIP)</t>
  </si>
  <si>
    <t>Contributions - Monetary (CIL)</t>
  </si>
  <si>
    <t>Council Commitment DCP</t>
  </si>
  <si>
    <t>DCPOther-Council</t>
  </si>
  <si>
    <t>34/36</t>
  </si>
  <si>
    <t>Debt Ceiling Levels (Council)</t>
  </si>
  <si>
    <t>Debt Ceiling Levels (Government)</t>
  </si>
  <si>
    <t>Total Debt Ceiling Level (Government)</t>
  </si>
  <si>
    <t>Total Debt Ceiling Level (Council)</t>
  </si>
  <si>
    <t>Debt Due</t>
  </si>
  <si>
    <t>Debt Balance</t>
  </si>
  <si>
    <t>Net capital at 2.5%</t>
  </si>
  <si>
    <t>Net capital at 5.0%</t>
  </si>
  <si>
    <t>Additional funding for Infrastructure</t>
  </si>
  <si>
    <t>Additional funding for DCP</t>
  </si>
  <si>
    <t>Residential Improved</t>
  </si>
  <si>
    <t>Residential Vacant</t>
  </si>
  <si>
    <t>Commercial Improved</t>
  </si>
  <si>
    <t>Commercial Vacant</t>
  </si>
  <si>
    <t>Industrial Improved</t>
  </si>
  <si>
    <t>Industrial Vacant</t>
  </si>
  <si>
    <t>Farm</t>
  </si>
  <si>
    <t>Recreational 1</t>
  </si>
  <si>
    <t>Recreational 2</t>
  </si>
  <si>
    <t>Rural Residential</t>
  </si>
  <si>
    <t>No Assess.</t>
  </si>
  <si>
    <t>Rate Type</t>
  </si>
  <si>
    <t>CIV</t>
  </si>
  <si>
    <t>Rate in $</t>
  </si>
  <si>
    <t>Calculation</t>
  </si>
  <si>
    <t>Proposed Rate in $</t>
  </si>
  <si>
    <t>Base Average Rate</t>
  </si>
  <si>
    <t>New Loans / (Debt Reduction)</t>
  </si>
  <si>
    <t>Future Rate Increase</t>
  </si>
  <si>
    <t>Future Capiatl Growth</t>
  </si>
  <si>
    <t>CY Capital Growth</t>
  </si>
  <si>
    <t>Future Year Indexation</t>
  </si>
  <si>
    <t>Current Year</t>
  </si>
  <si>
    <t>Supps</t>
  </si>
  <si>
    <t>Pension Rebate</t>
  </si>
  <si>
    <t>Servicing Costs</t>
  </si>
  <si>
    <t>Increase in Base Rate</t>
  </si>
  <si>
    <t>Base Rate</t>
  </si>
  <si>
    <t>Operating Result</t>
  </si>
  <si>
    <t>User Fees to Rate Revenue</t>
  </si>
  <si>
    <t>Lake Wendouree Infrastructure Works</t>
  </si>
  <si>
    <t>Future Growth</t>
  </si>
  <si>
    <t>Statutory Fees</t>
  </si>
  <si>
    <t>($'000's)</t>
  </si>
  <si>
    <t>Balance</t>
  </si>
  <si>
    <t>DCP Liability 2015</t>
  </si>
  <si>
    <t>DCP Liability 2016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</si>
</sst>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;[Red]\(#,##0\)"/>
    <numFmt numFmtId="169" formatCode="#,##0;\(#,##0\)"/>
    <numFmt numFmtId="170" formatCode="#,##0_ ;[Red]\(#,##0\)"/>
    <numFmt numFmtId="171" formatCode="_-* #,##0.000000_-;\-* #,##0.000000_-;_-* &quot;-&quot;??_-;_-@_-"/>
    <numFmt numFmtId="172" formatCode="#,##0.000000"/>
    <numFmt numFmtId="173" formatCode="0.000000"/>
    <numFmt numFmtId="174" formatCode="_(* #,##0_);_(* \(#,##0\);_(* &quot;-&quot;??_);_(@_)"/>
    <numFmt numFmtId="175" formatCode="#,##0.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\-#,##0.0\ 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_-* #,##0.0000000_-;\-* #,##0.0000000_-;_-* &quot;-&quot;??_-;_-@_-"/>
    <numFmt numFmtId="185" formatCode="_-* #,##0.000_-;\-* #,##0.000_-;_-* &quot;-&quot;???_-;_-@_-"/>
    <numFmt numFmtId="186" formatCode="#,##0_ ;\-#,##0\ "/>
    <numFmt numFmtId="187" formatCode="#,##0.00_ ;\-#,##0.00\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);\(#,##0\)"/>
    <numFmt numFmtId="193" formatCode="#,##0_ ;[Red]\-#,##0\ "/>
    <numFmt numFmtId="194" formatCode="#,##0.0;\-#,##0.0"/>
    <numFmt numFmtId="195" formatCode="#,##0.0"/>
    <numFmt numFmtId="196" formatCode="#,##0.000"/>
    <numFmt numFmtId="197" formatCode="#,##0.0000"/>
    <numFmt numFmtId="198" formatCode="#,##0.00000"/>
    <numFmt numFmtId="199" formatCode="#,##0.0000000"/>
    <numFmt numFmtId="200" formatCode="_-* #,##0.0000_-;\-* #,##0.0000_-;_-* &quot;-&quot;????_-;_-@_-"/>
    <numFmt numFmtId="201" formatCode="#,##0.0;[Red]\(#,##0.0\)"/>
    <numFmt numFmtId="202" formatCode="#,##0.0_ ;[Red]\-#,##0.0\ "/>
    <numFmt numFmtId="203" formatCode="0.0"/>
    <numFmt numFmtId="204" formatCode="#,##0.00;[Red]\(#,##0.00\)"/>
    <numFmt numFmtId="205" formatCode="0;[Red]0"/>
    <numFmt numFmtId="206" formatCode="##,##0;\(##,##0\)"/>
    <numFmt numFmtId="207" formatCode="##,##0"/>
    <numFmt numFmtId="208" formatCode="##,##0;\ \(##,##0\)"/>
    <numFmt numFmtId="209" formatCode="0.000%"/>
    <numFmt numFmtId="210" formatCode="0.0000%"/>
    <numFmt numFmtId="211" formatCode="#,##0.000000000;[Red]#,##0.000000000"/>
    <numFmt numFmtId="212" formatCode="#,##0.0000000000;[Red]#,##0.0000000000"/>
    <numFmt numFmtId="213" formatCode="#,##0.0000;[Red]#,##0.0000"/>
    <numFmt numFmtId="214" formatCode="#,##0_);[Red]\(&quot;$&quot;#,##0\)"/>
  </numFmts>
  <fonts count="100">
    <font>
      <sz val="10"/>
      <name val="Times New Roman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2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3"/>
      <color indexed="8"/>
      <name val="Arial"/>
      <family val="0"/>
    </font>
    <font>
      <b/>
      <sz val="1.75"/>
      <color indexed="8"/>
      <name val="Arial"/>
      <family val="0"/>
    </font>
    <font>
      <b/>
      <sz val="1.0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0"/>
      <name val="Times New Roman"/>
      <family val="1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b/>
      <sz val="3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Times New Roman"/>
      <family val="1"/>
    </font>
    <font>
      <b/>
      <sz val="10"/>
      <color rgb="FF00B0F0"/>
      <name val="Times New Roman"/>
      <family val="1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theme="0" tint="-0.4999699890613556"/>
      <name val="Arial"/>
      <family val="2"/>
    </font>
    <font>
      <sz val="10"/>
      <color theme="0" tint="-0.24997000396251678"/>
      <name val="Arial"/>
      <family val="2"/>
    </font>
    <font>
      <sz val="10"/>
      <color rgb="FF0000FF"/>
      <name val="Arial"/>
      <family val="2"/>
    </font>
    <font>
      <b/>
      <sz val="10"/>
      <color theme="0" tint="-0.24997000396251678"/>
      <name val="Arial"/>
      <family val="2"/>
    </font>
    <font>
      <b/>
      <sz val="14"/>
      <color theme="1"/>
      <name val="Arial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8" fontId="6" fillId="33" borderId="10" xfId="0" applyNumberFormat="1" applyFont="1" applyFill="1" applyBorder="1" applyAlignment="1">
      <alignment horizontal="center"/>
    </xf>
    <xf numFmtId="168" fontId="6" fillId="33" borderId="0" xfId="0" applyNumberFormat="1" applyFont="1" applyFill="1" applyBorder="1" applyAlignment="1">
      <alignment horizontal="center"/>
    </xf>
    <xf numFmtId="168" fontId="6" fillId="33" borderId="10" xfId="0" applyNumberFormat="1" applyFont="1" applyFill="1" applyBorder="1" applyAlignment="1" quotePrefix="1">
      <alignment horizontal="center"/>
    </xf>
    <xf numFmtId="0" fontId="8" fillId="0" borderId="0" xfId="0" applyFont="1" applyAlignment="1">
      <alignment/>
    </xf>
    <xf numFmtId="168" fontId="6" fillId="33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37" fontId="0" fillId="0" borderId="10" xfId="0" applyNumberFormat="1" applyFill="1" applyBorder="1" applyAlignment="1">
      <alignment/>
    </xf>
    <xf numFmtId="9" fontId="9" fillId="0" borderId="10" xfId="63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9" fontId="4" fillId="0" borderId="10" xfId="63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9" fontId="4" fillId="0" borderId="10" xfId="63" applyNumberFormat="1" applyFont="1" applyFill="1" applyBorder="1" applyAlignment="1">
      <alignment horizontal="center"/>
    </xf>
    <xf numFmtId="9" fontId="0" fillId="0" borderId="10" xfId="63" applyFont="1" applyFill="1" applyBorder="1" applyAlignment="1">
      <alignment/>
    </xf>
    <xf numFmtId="168" fontId="12" fillId="33" borderId="10" xfId="0" applyNumberFormat="1" applyFont="1" applyFill="1" applyBorder="1" applyAlignment="1">
      <alignment horizontal="center"/>
    </xf>
    <xf numFmtId="9" fontId="13" fillId="0" borderId="10" xfId="63" applyFont="1" applyFill="1" applyBorder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42" applyFont="1" applyAlignment="1">
      <alignment/>
    </xf>
    <xf numFmtId="168" fontId="81" fillId="33" borderId="10" xfId="0" applyNumberFormat="1" applyFont="1" applyFill="1" applyBorder="1" applyAlignment="1">
      <alignment horizontal="center"/>
    </xf>
    <xf numFmtId="168" fontId="82" fillId="33" borderId="10" xfId="0" applyNumberFormat="1" applyFont="1" applyFill="1" applyBorder="1" applyAlignment="1">
      <alignment horizontal="center"/>
    </xf>
    <xf numFmtId="168" fontId="6" fillId="33" borderId="11" xfId="0" applyNumberFormat="1" applyFont="1" applyFill="1" applyBorder="1" applyAlignment="1">
      <alignment horizontal="center"/>
    </xf>
    <xf numFmtId="168" fontId="81" fillId="33" borderId="11" xfId="0" applyNumberFormat="1" applyFont="1" applyFill="1" applyBorder="1" applyAlignment="1">
      <alignment horizontal="center"/>
    </xf>
    <xf numFmtId="168" fontId="82" fillId="33" borderId="11" xfId="0" applyNumberFormat="1" applyFont="1" applyFill="1" applyBorder="1" applyAlignment="1">
      <alignment horizontal="center"/>
    </xf>
    <xf numFmtId="168" fontId="81" fillId="33" borderId="10" xfId="0" applyNumberFormat="1" applyFont="1" applyFill="1" applyBorder="1" applyAlignment="1" quotePrefix="1">
      <alignment horizontal="center"/>
    </xf>
    <xf numFmtId="194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6" fontId="7" fillId="0" borderId="10" xfId="42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center" wrapText="1"/>
    </xf>
    <xf numFmtId="168" fontId="8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167" fontId="8" fillId="34" borderId="10" xfId="63" applyNumberFormat="1" applyFont="1" applyFill="1" applyBorder="1" applyAlignment="1">
      <alignment horizontal="center"/>
    </xf>
    <xf numFmtId="10" fontId="8" fillId="34" borderId="10" xfId="63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68" fontId="8" fillId="34" borderId="10" xfId="42" applyNumberFormat="1" applyFont="1" applyFill="1" applyBorder="1" applyAlignment="1">
      <alignment horizontal="center"/>
    </xf>
    <xf numFmtId="166" fontId="8" fillId="34" borderId="10" xfId="42" applyNumberFormat="1" applyFont="1" applyFill="1" applyBorder="1" applyAlignment="1">
      <alignment horizontal="center"/>
    </xf>
    <xf numFmtId="9" fontId="8" fillId="34" borderId="10" xfId="0" applyNumberFormat="1" applyFont="1" applyFill="1" applyBorder="1" applyAlignment="1">
      <alignment horizontal="center"/>
    </xf>
    <xf numFmtId="170" fontId="8" fillId="34" borderId="10" xfId="42" applyNumberFormat="1" applyFont="1" applyFill="1" applyBorder="1" applyAlignment="1">
      <alignment horizontal="center"/>
    </xf>
    <xf numFmtId="167" fontId="79" fillId="34" borderId="10" xfId="0" applyNumberFormat="1" applyFont="1" applyFill="1" applyBorder="1" applyAlignment="1">
      <alignment horizontal="center"/>
    </xf>
    <xf numFmtId="167" fontId="8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7" fontId="7" fillId="34" borderId="10" xfId="0" applyNumberFormat="1" applyFont="1" applyFill="1" applyBorder="1" applyAlignment="1">
      <alignment horizontal="center"/>
    </xf>
    <xf numFmtId="9" fontId="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8" fontId="4" fillId="34" borderId="0" xfId="0" applyNumberFormat="1" applyFont="1" applyFill="1" applyBorder="1" applyAlignment="1">
      <alignment horizontal="center"/>
    </xf>
    <xf numFmtId="168" fontId="8" fillId="34" borderId="0" xfId="42" applyNumberFormat="1" applyFont="1" applyFill="1" applyBorder="1" applyAlignment="1">
      <alignment horizontal="center"/>
    </xf>
    <xf numFmtId="170" fontId="8" fillId="34" borderId="0" xfId="42" applyNumberFormat="1" applyFont="1" applyFill="1" applyBorder="1" applyAlignment="1">
      <alignment horizontal="center"/>
    </xf>
    <xf numFmtId="166" fontId="8" fillId="34" borderId="0" xfId="42" applyNumberFormat="1" applyFont="1" applyFill="1" applyBorder="1" applyAlignment="1">
      <alignment horizontal="center"/>
    </xf>
    <xf numFmtId="9" fontId="8" fillId="34" borderId="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7" fontId="7" fillId="3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/>
    </xf>
    <xf numFmtId="168" fontId="7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6" fontId="7" fillId="0" borderId="15" xfId="42" applyNumberFormat="1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/>
    </xf>
    <xf numFmtId="168" fontId="83" fillId="0" borderId="0" xfId="0" applyNumberFormat="1" applyFont="1" applyFill="1" applyBorder="1" applyAlignment="1">
      <alignment/>
    </xf>
    <xf numFmtId="10" fontId="83" fillId="0" borderId="0" xfId="63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 horizontal="left" indent="1"/>
    </xf>
    <xf numFmtId="10" fontId="19" fillId="0" borderId="0" xfId="63" applyNumberFormat="1" applyFont="1" applyFill="1" applyBorder="1" applyAlignment="1">
      <alignment/>
    </xf>
    <xf numFmtId="10" fontId="84" fillId="36" borderId="0" xfId="63" applyNumberFormat="1" applyFont="1" applyFill="1" applyBorder="1" applyAlignment="1">
      <alignment/>
    </xf>
    <xf numFmtId="10" fontId="85" fillId="0" borderId="0" xfId="63" applyNumberFormat="1" applyFont="1" applyAlignment="1">
      <alignment/>
    </xf>
    <xf numFmtId="10" fontId="84" fillId="36" borderId="0" xfId="63" applyNumberFormat="1" applyFont="1" applyFill="1" applyAlignment="1">
      <alignment/>
    </xf>
    <xf numFmtId="168" fontId="20" fillId="33" borderId="0" xfId="0" applyNumberFormat="1" applyFont="1" applyFill="1" applyBorder="1" applyAlignment="1">
      <alignment horizontal="center"/>
    </xf>
    <xf numFmtId="168" fontId="20" fillId="33" borderId="0" xfId="0" applyNumberFormat="1" applyFont="1" applyFill="1" applyBorder="1" applyAlignment="1" quotePrefix="1">
      <alignment horizontal="center"/>
    </xf>
    <xf numFmtId="168" fontId="20" fillId="33" borderId="10" xfId="0" applyNumberFormat="1" applyFont="1" applyFill="1" applyBorder="1" applyAlignment="1">
      <alignment horizontal="center"/>
    </xf>
    <xf numFmtId="168" fontId="20" fillId="33" borderId="10" xfId="0" applyNumberFormat="1" applyFont="1" applyFill="1" applyBorder="1" applyAlignment="1" quotePrefix="1">
      <alignment horizontal="center"/>
    </xf>
    <xf numFmtId="168" fontId="86" fillId="33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 quotePrefix="1">
      <alignment horizontal="center"/>
    </xf>
    <xf numFmtId="168" fontId="21" fillId="0" borderId="0" xfId="0" applyNumberFormat="1" applyFont="1" applyFill="1" applyBorder="1" applyAlignment="1">
      <alignment/>
    </xf>
    <xf numFmtId="168" fontId="20" fillId="33" borderId="0" xfId="0" applyNumberFormat="1" applyFont="1" applyFill="1" applyBorder="1" applyAlignment="1">
      <alignment/>
    </xf>
    <xf numFmtId="168" fontId="84" fillId="33" borderId="10" xfId="0" applyNumberFormat="1" applyFont="1" applyFill="1" applyBorder="1" applyAlignment="1">
      <alignment horizontal="center"/>
    </xf>
    <xf numFmtId="168" fontId="20" fillId="33" borderId="11" xfId="0" applyNumberFormat="1" applyFont="1" applyFill="1" applyBorder="1" applyAlignment="1">
      <alignment horizontal="center"/>
    </xf>
    <xf numFmtId="168" fontId="86" fillId="33" borderId="11" xfId="0" applyNumberFormat="1" applyFont="1" applyFill="1" applyBorder="1" applyAlignment="1">
      <alignment horizontal="center"/>
    </xf>
    <xf numFmtId="168" fontId="21" fillId="6" borderId="1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9" fontId="19" fillId="0" borderId="10" xfId="63" applyFont="1" applyFill="1" applyBorder="1" applyAlignment="1">
      <alignment/>
    </xf>
    <xf numFmtId="168" fontId="19" fillId="6" borderId="10" xfId="0" applyNumberFormat="1" applyFont="1" applyFill="1" applyBorder="1" applyAlignment="1">
      <alignment/>
    </xf>
    <xf numFmtId="168" fontId="19" fillId="6" borderId="23" xfId="0" applyNumberFormat="1" applyFont="1" applyFill="1" applyBorder="1" applyAlignment="1">
      <alignment horizontal="left" indent="1"/>
    </xf>
    <xf numFmtId="168" fontId="19" fillId="0" borderId="24" xfId="0" applyNumberFormat="1" applyFont="1" applyFill="1" applyBorder="1" applyAlignment="1">
      <alignment/>
    </xf>
    <xf numFmtId="3" fontId="19" fillId="0" borderId="24" xfId="42" applyNumberFormat="1" applyFont="1" applyFill="1" applyBorder="1" applyAlignment="1">
      <alignment/>
    </xf>
    <xf numFmtId="3" fontId="19" fillId="6" borderId="24" xfId="42" applyNumberFormat="1" applyFont="1" applyFill="1" applyBorder="1" applyAlignment="1">
      <alignment/>
    </xf>
    <xf numFmtId="3" fontId="19" fillId="0" borderId="10" xfId="42" applyNumberFormat="1" applyFont="1" applyFill="1" applyBorder="1" applyAlignment="1">
      <alignment/>
    </xf>
    <xf numFmtId="168" fontId="19" fillId="6" borderId="25" xfId="0" applyNumberFormat="1" applyFont="1" applyFill="1" applyBorder="1" applyAlignment="1">
      <alignment horizontal="left" indent="1"/>
    </xf>
    <xf numFmtId="168" fontId="19" fillId="6" borderId="25" xfId="0" applyNumberFormat="1" applyFont="1" applyFill="1" applyBorder="1" applyAlignment="1">
      <alignment/>
    </xf>
    <xf numFmtId="168" fontId="21" fillId="6" borderId="25" xfId="0" applyNumberFormat="1" applyFont="1" applyFill="1" applyBorder="1" applyAlignment="1">
      <alignment/>
    </xf>
    <xf numFmtId="168" fontId="21" fillId="0" borderId="10" xfId="0" applyNumberFormat="1" applyFont="1" applyFill="1" applyBorder="1" applyAlignment="1">
      <alignment/>
    </xf>
    <xf numFmtId="166" fontId="19" fillId="0" borderId="10" xfId="42" applyNumberFormat="1" applyFont="1" applyFill="1" applyBorder="1" applyAlignment="1">
      <alignment/>
    </xf>
    <xf numFmtId="10" fontId="19" fillId="0" borderId="10" xfId="63" applyNumberFormat="1" applyFont="1" applyFill="1" applyBorder="1" applyAlignment="1">
      <alignment/>
    </xf>
    <xf numFmtId="168" fontId="21" fillId="6" borderId="25" xfId="0" applyNumberFormat="1" applyFont="1" applyFill="1" applyBorder="1" applyAlignment="1">
      <alignment horizontal="left" indent="1"/>
    </xf>
    <xf numFmtId="168" fontId="19" fillId="0" borderId="10" xfId="63" applyNumberFormat="1" applyFont="1" applyFill="1" applyBorder="1" applyAlignment="1">
      <alignment/>
    </xf>
    <xf numFmtId="168" fontId="19" fillId="0" borderId="10" xfId="42" applyNumberFormat="1" applyFont="1" applyFill="1" applyBorder="1" applyAlignment="1">
      <alignment/>
    </xf>
    <xf numFmtId="168" fontId="19" fillId="6" borderId="10" xfId="63" applyNumberFormat="1" applyFont="1" applyFill="1" applyBorder="1" applyAlignment="1">
      <alignment/>
    </xf>
    <xf numFmtId="168" fontId="21" fillId="35" borderId="10" xfId="0" applyNumberFormat="1" applyFont="1" applyFill="1" applyBorder="1" applyAlignment="1">
      <alignment/>
    </xf>
    <xf numFmtId="9" fontId="21" fillId="0" borderId="10" xfId="63" applyFont="1" applyFill="1" applyBorder="1" applyAlignment="1">
      <alignment/>
    </xf>
    <xf numFmtId="168" fontId="19" fillId="6" borderId="10" xfId="42" applyNumberFormat="1" applyFont="1" applyFill="1" applyBorder="1" applyAlignment="1">
      <alignment/>
    </xf>
    <xf numFmtId="168" fontId="19" fillId="6" borderId="25" xfId="0" applyNumberFormat="1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/>
    </xf>
    <xf numFmtId="10" fontId="19" fillId="6" borderId="25" xfId="63" applyNumberFormat="1" applyFont="1" applyFill="1" applyBorder="1" applyAlignment="1">
      <alignment horizontal="center"/>
    </xf>
    <xf numFmtId="168" fontId="19" fillId="0" borderId="10" xfId="63" applyNumberFormat="1" applyFont="1" applyFill="1" applyBorder="1" applyAlignment="1">
      <alignment horizontal="center"/>
    </xf>
    <xf numFmtId="168" fontId="19" fillId="6" borderId="25" xfId="63" applyNumberFormat="1" applyFont="1" applyFill="1" applyBorder="1" applyAlignment="1">
      <alignment horizontal="left"/>
    </xf>
    <xf numFmtId="168" fontId="87" fillId="37" borderId="10" xfId="0" applyNumberFormat="1" applyFont="1" applyFill="1" applyBorder="1" applyAlignment="1">
      <alignment/>
    </xf>
    <xf numFmtId="9" fontId="19" fillId="6" borderId="10" xfId="63" applyFont="1" applyFill="1" applyBorder="1" applyAlignment="1">
      <alignment/>
    </xf>
    <xf numFmtId="166" fontId="19" fillId="0" borderId="0" xfId="42" applyNumberFormat="1" applyFont="1" applyFill="1" applyBorder="1" applyAlignment="1">
      <alignment/>
    </xf>
    <xf numFmtId="168" fontId="19" fillId="6" borderId="10" xfId="0" applyNumberFormat="1" applyFont="1" applyFill="1" applyBorder="1" applyAlignment="1">
      <alignment horizontal="left" indent="1"/>
    </xf>
    <xf numFmtId="168" fontId="22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37" fontId="23" fillId="33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168" fontId="19" fillId="38" borderId="10" xfId="0" applyNumberFormat="1" applyFont="1" applyFill="1" applyBorder="1" applyAlignment="1">
      <alignment/>
    </xf>
    <xf numFmtId="168" fontId="19" fillId="38" borderId="26" xfId="0" applyNumberFormat="1" applyFont="1" applyFill="1" applyBorder="1" applyAlignment="1">
      <alignment/>
    </xf>
    <xf numFmtId="168" fontId="19" fillId="38" borderId="27" xfId="0" applyNumberFormat="1" applyFont="1" applyFill="1" applyBorder="1" applyAlignment="1">
      <alignment/>
    </xf>
    <xf numFmtId="168" fontId="21" fillId="0" borderId="10" xfId="42" applyNumberFormat="1" applyFont="1" applyFill="1" applyBorder="1" applyAlignment="1">
      <alignment/>
    </xf>
    <xf numFmtId="168" fontId="21" fillId="38" borderId="27" xfId="0" applyNumberFormat="1" applyFont="1" applyFill="1" applyBorder="1" applyAlignment="1">
      <alignment/>
    </xf>
    <xf numFmtId="168" fontId="21" fillId="34" borderId="10" xfId="0" applyNumberFormat="1" applyFont="1" applyFill="1" applyBorder="1" applyAlignment="1">
      <alignment/>
    </xf>
    <xf numFmtId="168" fontId="19" fillId="0" borderId="0" xfId="42" applyNumberFormat="1" applyFont="1" applyFill="1" applyBorder="1" applyAlignment="1">
      <alignment/>
    </xf>
    <xf numFmtId="0" fontId="88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167" fontId="79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3" fontId="88" fillId="0" borderId="0" xfId="0" applyNumberFormat="1" applyFont="1" applyBorder="1" applyAlignment="1">
      <alignment/>
    </xf>
    <xf numFmtId="0" fontId="24" fillId="39" borderId="10" xfId="60" applyFont="1" applyFill="1" applyBorder="1" applyAlignment="1">
      <alignment horizontal="center"/>
      <protection/>
    </xf>
    <xf numFmtId="3" fontId="24" fillId="39" borderId="10" xfId="60" applyNumberFormat="1" applyFont="1" applyFill="1" applyBorder="1" applyAlignment="1">
      <alignment horizontal="center"/>
      <protection/>
    </xf>
    <xf numFmtId="0" fontId="87" fillId="6" borderId="10" xfId="0" applyFont="1" applyFill="1" applyBorder="1" applyAlignment="1">
      <alignment horizontal="center"/>
    </xf>
    <xf numFmtId="0" fontId="87" fillId="6" borderId="10" xfId="0" applyFont="1" applyFill="1" applyBorder="1" applyAlignment="1">
      <alignment/>
    </xf>
    <xf numFmtId="0" fontId="25" fillId="0" borderId="10" xfId="60" applyFont="1" applyFill="1" applyBorder="1" applyAlignment="1">
      <alignment horizontal="center"/>
      <protection/>
    </xf>
    <xf numFmtId="0" fontId="25" fillId="0" borderId="10" xfId="60" applyFont="1" applyFill="1" applyBorder="1" applyAlignment="1">
      <alignment/>
      <protection/>
    </xf>
    <xf numFmtId="0" fontId="19" fillId="0" borderId="10" xfId="0" applyFont="1" applyFill="1" applyBorder="1" applyAlignment="1">
      <alignment vertical="center" wrapText="1"/>
    </xf>
    <xf numFmtId="0" fontId="83" fillId="0" borderId="10" xfId="60" applyFont="1" applyFill="1" applyBorder="1" applyAlignment="1">
      <alignment horizontal="center"/>
      <protection/>
    </xf>
    <xf numFmtId="0" fontId="89" fillId="0" borderId="10" xfId="60" applyFont="1" applyFill="1" applyBorder="1" applyAlignment="1">
      <alignment horizontal="center"/>
      <protection/>
    </xf>
    <xf numFmtId="3" fontId="90" fillId="0" borderId="10" xfId="60" applyNumberFormat="1" applyFont="1" applyFill="1" applyBorder="1" applyAlignment="1">
      <alignment horizontal="right"/>
      <protection/>
    </xf>
    <xf numFmtId="3" fontId="25" fillId="0" borderId="10" xfId="60" applyNumberFormat="1" applyFont="1" applyFill="1" applyBorder="1" applyAlignment="1">
      <alignment horizontal="right"/>
      <protection/>
    </xf>
    <xf numFmtId="3" fontId="24" fillId="0" borderId="10" xfId="60" applyNumberFormat="1" applyFont="1" applyFill="1" applyBorder="1" applyAlignment="1">
      <alignment horizontal="right"/>
      <protection/>
    </xf>
    <xf numFmtId="0" fontId="88" fillId="0" borderId="10" xfId="0" applyFont="1" applyBorder="1" applyAlignment="1">
      <alignment/>
    </xf>
    <xf numFmtId="166" fontId="88" fillId="0" borderId="10" xfId="42" applyNumberFormat="1" applyFont="1" applyBorder="1" applyAlignment="1">
      <alignment/>
    </xf>
    <xf numFmtId="43" fontId="88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25" fillId="0" borderId="10" xfId="60" applyFont="1" applyFill="1" applyBorder="1" applyAlignment="1" quotePrefix="1">
      <alignment horizontal="center"/>
      <protection/>
    </xf>
    <xf numFmtId="0" fontId="88" fillId="0" borderId="10" xfId="0" applyFont="1" applyBorder="1" applyAlignment="1">
      <alignment horizontal="center"/>
    </xf>
    <xf numFmtId="3" fontId="88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6" fontId="88" fillId="0" borderId="0" xfId="42" applyNumberFormat="1" applyFont="1" applyAlignment="1">
      <alignment/>
    </xf>
    <xf numFmtId="166" fontId="24" fillId="39" borderId="10" xfId="42" applyNumberFormat="1" applyFont="1" applyFill="1" applyBorder="1" applyAlignment="1">
      <alignment horizontal="center"/>
    </xf>
    <xf numFmtId="3" fontId="19" fillId="0" borderId="10" xfId="60" applyNumberFormat="1" applyFont="1" applyFill="1" applyBorder="1" applyAlignment="1">
      <alignment horizontal="right"/>
      <protection/>
    </xf>
    <xf numFmtId="3" fontId="89" fillId="0" borderId="10" xfId="60" applyNumberFormat="1" applyFont="1" applyFill="1" applyBorder="1" applyAlignment="1">
      <alignment horizontal="right"/>
      <protection/>
    </xf>
    <xf numFmtId="168" fontId="19" fillId="0" borderId="10" xfId="0" applyNumberFormat="1" applyFont="1" applyFill="1" applyBorder="1" applyAlignment="1">
      <alignment horizontal="left" indent="1"/>
    </xf>
    <xf numFmtId="166" fontId="19" fillId="6" borderId="10" xfId="42" applyNumberFormat="1" applyFont="1" applyFill="1" applyBorder="1" applyAlignment="1">
      <alignment/>
    </xf>
    <xf numFmtId="168" fontId="21" fillId="35" borderId="0" xfId="0" applyNumberFormat="1" applyFont="1" applyFill="1" applyBorder="1" applyAlignment="1">
      <alignment/>
    </xf>
    <xf numFmtId="168" fontId="19" fillId="35" borderId="0" xfId="0" applyNumberFormat="1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19" fillId="6" borderId="24" xfId="0" applyFont="1" applyFill="1" applyBorder="1" applyAlignment="1">
      <alignment/>
    </xf>
    <xf numFmtId="0" fontId="19" fillId="6" borderId="10" xfId="0" applyFont="1" applyFill="1" applyBorder="1" applyAlignment="1">
      <alignment/>
    </xf>
    <xf numFmtId="0" fontId="19" fillId="6" borderId="10" xfId="0" applyFont="1" applyFill="1" applyBorder="1" applyAlignment="1">
      <alignment horizontal="left" indent="1"/>
    </xf>
    <xf numFmtId="0" fontId="19" fillId="6" borderId="10" xfId="0" applyFont="1" applyFill="1" applyBorder="1" applyAlignment="1">
      <alignment/>
    </xf>
    <xf numFmtId="168" fontId="19" fillId="34" borderId="10" xfId="0" applyNumberFormat="1" applyFont="1" applyFill="1" applyBorder="1" applyAlignment="1">
      <alignment/>
    </xf>
    <xf numFmtId="168" fontId="19" fillId="34" borderId="10" xfId="0" applyNumberFormat="1" applyFont="1" applyFill="1" applyBorder="1" applyAlignment="1">
      <alignment horizontal="left" indent="1"/>
    </xf>
    <xf numFmtId="0" fontId="19" fillId="0" borderId="0" xfId="0" applyFont="1" applyAlignment="1">
      <alignment/>
    </xf>
    <xf numFmtId="166" fontId="19" fillId="0" borderId="0" xfId="42" applyNumberFormat="1" applyFont="1" applyAlignment="1">
      <alignment/>
    </xf>
    <xf numFmtId="168" fontId="8" fillId="0" borderId="10" xfId="0" applyNumberFormat="1" applyFont="1" applyFill="1" applyBorder="1" applyAlignment="1">
      <alignment horizontal="center"/>
    </xf>
    <xf numFmtId="168" fontId="91" fillId="0" borderId="10" xfId="0" applyNumberFormat="1" applyFont="1" applyFill="1" applyBorder="1" applyAlignment="1">
      <alignment horizontal="center"/>
    </xf>
    <xf numFmtId="168" fontId="7" fillId="0" borderId="21" xfId="0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168" fontId="19" fillId="34" borderId="0" xfId="0" applyNumberFormat="1" applyFont="1" applyFill="1" applyBorder="1" applyAlignment="1">
      <alignment horizontal="left" indent="1"/>
    </xf>
    <xf numFmtId="168" fontId="19" fillId="34" borderId="0" xfId="0" applyNumberFormat="1" applyFont="1" applyFill="1" applyBorder="1" applyAlignment="1">
      <alignment/>
    </xf>
    <xf numFmtId="168" fontId="21" fillId="34" borderId="0" xfId="0" applyNumberFormat="1" applyFont="1" applyFill="1" applyBorder="1" applyAlignment="1">
      <alignment/>
    </xf>
    <xf numFmtId="168" fontId="21" fillId="35" borderId="0" xfId="0" applyNumberFormat="1" applyFont="1" applyFill="1" applyBorder="1" applyAlignment="1">
      <alignment horizontal="left" indent="1"/>
    </xf>
    <xf numFmtId="168" fontId="83" fillId="35" borderId="0" xfId="0" applyNumberFormat="1" applyFont="1" applyFill="1" applyBorder="1" applyAlignment="1">
      <alignment/>
    </xf>
    <xf numFmtId="37" fontId="92" fillId="0" borderId="10" xfId="0" applyNumberFormat="1" applyFont="1" applyFill="1" applyBorder="1" applyAlignment="1">
      <alignment/>
    </xf>
    <xf numFmtId="166" fontId="92" fillId="0" borderId="10" xfId="42" applyNumberFormat="1" applyFont="1" applyFill="1" applyBorder="1" applyAlignment="1">
      <alignment/>
    </xf>
    <xf numFmtId="37" fontId="93" fillId="0" borderId="10" xfId="0" applyNumberFormat="1" applyFont="1" applyFill="1" applyBorder="1" applyAlignment="1">
      <alignment/>
    </xf>
    <xf numFmtId="9" fontId="92" fillId="0" borderId="10" xfId="63" applyFont="1" applyFill="1" applyBorder="1" applyAlignment="1">
      <alignment/>
    </xf>
    <xf numFmtId="9" fontId="92" fillId="38" borderId="10" xfId="63" applyFont="1" applyFill="1" applyBorder="1" applyAlignment="1">
      <alignment/>
    </xf>
    <xf numFmtId="37" fontId="2" fillId="6" borderId="0" xfId="0" applyNumberFormat="1" applyFont="1" applyFill="1" applyBorder="1" applyAlignment="1">
      <alignment/>
    </xf>
    <xf numFmtId="37" fontId="3" fillId="6" borderId="0" xfId="0" applyNumberFormat="1" applyFont="1" applyFill="1" applyBorder="1" applyAlignment="1">
      <alignment/>
    </xf>
    <xf numFmtId="37" fontId="4" fillId="6" borderId="25" xfId="0" applyNumberFormat="1" applyFont="1" applyFill="1" applyBorder="1" applyAlignment="1">
      <alignment/>
    </xf>
    <xf numFmtId="37" fontId="4" fillId="6" borderId="25" xfId="0" applyNumberFormat="1" applyFont="1" applyFill="1" applyBorder="1" applyAlignment="1">
      <alignment horizontal="left" indent="1"/>
    </xf>
    <xf numFmtId="37" fontId="0" fillId="6" borderId="25" xfId="0" applyNumberFormat="1" applyFont="1" applyFill="1" applyBorder="1" applyAlignment="1">
      <alignment horizontal="left" indent="1"/>
    </xf>
    <xf numFmtId="37" fontId="0" fillId="6" borderId="0" xfId="0" applyNumberFormat="1" applyFont="1" applyFill="1" applyBorder="1" applyAlignment="1">
      <alignment/>
    </xf>
    <xf numFmtId="3" fontId="92" fillId="0" borderId="10" xfId="42" applyNumberFormat="1" applyFont="1" applyFill="1" applyBorder="1" applyAlignment="1">
      <alignment/>
    </xf>
    <xf numFmtId="9" fontId="92" fillId="0" borderId="10" xfId="63" applyNumberFormat="1" applyFont="1" applyFill="1" applyBorder="1" applyAlignment="1">
      <alignment/>
    </xf>
    <xf numFmtId="37" fontId="92" fillId="0" borderId="10" xfId="0" applyNumberFormat="1" applyFont="1" applyFill="1" applyBorder="1" applyAlignment="1">
      <alignment/>
    </xf>
    <xf numFmtId="9" fontId="92" fillId="0" borderId="10" xfId="63" applyFont="1" applyFill="1" applyBorder="1" applyAlignment="1">
      <alignment/>
    </xf>
    <xf numFmtId="9" fontId="92" fillId="0" borderId="10" xfId="63" applyNumberFormat="1" applyFont="1" applyFill="1" applyBorder="1" applyAlignment="1">
      <alignment/>
    </xf>
    <xf numFmtId="166" fontId="94" fillId="0" borderId="10" xfId="42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166" fontId="95" fillId="0" borderId="24" xfId="42" applyNumberFormat="1" applyFont="1" applyFill="1" applyBorder="1" applyAlignment="1">
      <alignment horizontal="center"/>
    </xf>
    <xf numFmtId="166" fontId="0" fillId="35" borderId="0" xfId="42" applyNumberFormat="1" applyFont="1" applyFill="1" applyAlignment="1">
      <alignment/>
    </xf>
    <xf numFmtId="167" fontId="88" fillId="0" borderId="0" xfId="63" applyNumberFormat="1" applyFont="1" applyBorder="1" applyAlignment="1">
      <alignment/>
    </xf>
    <xf numFmtId="166" fontId="0" fillId="0" borderId="0" xfId="0" applyNumberFormat="1" applyAlignment="1">
      <alignment/>
    </xf>
    <xf numFmtId="166" fontId="88" fillId="0" borderId="0" xfId="42" applyNumberFormat="1" applyFont="1" applyBorder="1" applyAlignment="1">
      <alignment/>
    </xf>
    <xf numFmtId="0" fontId="8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3" fontId="87" fillId="0" borderId="0" xfId="0" applyNumberFormat="1" applyFont="1" applyBorder="1" applyAlignment="1">
      <alignment/>
    </xf>
    <xf numFmtId="0" fontId="25" fillId="0" borderId="0" xfId="59" applyFont="1" applyFill="1" applyBorder="1" applyAlignment="1">
      <alignment/>
      <protection/>
    </xf>
    <xf numFmtId="0" fontId="19" fillId="0" borderId="0" xfId="0" applyFont="1" applyBorder="1" applyAlignment="1">
      <alignment/>
    </xf>
    <xf numFmtId="166" fontId="25" fillId="0" borderId="0" xfId="42" applyNumberFormat="1" applyFont="1" applyFill="1" applyBorder="1" applyAlignment="1">
      <alignment horizontal="right"/>
    </xf>
    <xf numFmtId="166" fontId="19" fillId="0" borderId="0" xfId="42" applyNumberFormat="1" applyFont="1" applyBorder="1" applyAlignment="1">
      <alignment/>
    </xf>
    <xf numFmtId="171" fontId="25" fillId="0" borderId="0" xfId="42" applyNumberFormat="1" applyFont="1" applyFill="1" applyBorder="1" applyAlignment="1">
      <alignment horizontal="right"/>
    </xf>
    <xf numFmtId="166" fontId="21" fillId="0" borderId="0" xfId="42" applyNumberFormat="1" applyFont="1" applyBorder="1" applyAlignment="1">
      <alignment/>
    </xf>
    <xf numFmtId="0" fontId="24" fillId="39" borderId="0" xfId="59" applyFont="1" applyFill="1" applyBorder="1" applyAlignment="1">
      <alignment horizontal="center"/>
      <protection/>
    </xf>
    <xf numFmtId="166" fontId="24" fillId="39" borderId="0" xfId="42" applyNumberFormat="1" applyFont="1" applyFill="1" applyBorder="1" applyAlignment="1">
      <alignment horizontal="center"/>
    </xf>
    <xf numFmtId="166" fontId="24" fillId="39" borderId="0" xfId="42" applyNumberFormat="1" applyFont="1" applyFill="1" applyBorder="1" applyAlignment="1">
      <alignment horizontal="center" wrapText="1"/>
    </xf>
    <xf numFmtId="166" fontId="19" fillId="0" borderId="0" xfId="0" applyNumberFormat="1" applyFont="1" applyAlignment="1">
      <alignment/>
    </xf>
    <xf numFmtId="3" fontId="25" fillId="0" borderId="0" xfId="59" applyNumberFormat="1" applyFont="1" applyFill="1" applyBorder="1" applyAlignment="1">
      <alignment/>
      <protection/>
    </xf>
    <xf numFmtId="3" fontId="21" fillId="0" borderId="0" xfId="0" applyNumberFormat="1" applyFont="1" applyBorder="1" applyAlignment="1">
      <alignment/>
    </xf>
    <xf numFmtId="167" fontId="19" fillId="0" borderId="0" xfId="63" applyNumberFormat="1" applyFont="1" applyAlignment="1">
      <alignment/>
    </xf>
    <xf numFmtId="166" fontId="21" fillId="0" borderId="0" xfId="0" applyNumberFormat="1" applyFont="1" applyBorder="1" applyAlignment="1">
      <alignment/>
    </xf>
    <xf numFmtId="10" fontId="19" fillId="0" borderId="0" xfId="63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71" fontId="19" fillId="0" borderId="0" xfId="42" applyNumberFormat="1" applyFont="1" applyBorder="1" applyAlignment="1">
      <alignment/>
    </xf>
    <xf numFmtId="167" fontId="89" fillId="0" borderId="0" xfId="63" applyNumberFormat="1" applyFont="1" applyBorder="1" applyAlignment="1">
      <alignment/>
    </xf>
    <xf numFmtId="9" fontId="19" fillId="0" borderId="0" xfId="63" applyFont="1" applyFill="1" applyBorder="1" applyAlignment="1">
      <alignment/>
    </xf>
    <xf numFmtId="166" fontId="0" fillId="6" borderId="0" xfId="42" applyNumberFormat="1" applyFont="1" applyFill="1" applyAlignment="1">
      <alignment/>
    </xf>
    <xf numFmtId="0" fontId="21" fillId="0" borderId="0" xfId="0" applyFont="1" applyAlignment="1">
      <alignment/>
    </xf>
    <xf numFmtId="166" fontId="21" fillId="35" borderId="0" xfId="0" applyNumberFormat="1" applyFont="1" applyFill="1" applyAlignment="1">
      <alignment/>
    </xf>
    <xf numFmtId="167" fontId="7" fillId="0" borderId="0" xfId="0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168" fontId="96" fillId="0" borderId="10" xfId="42" applyNumberFormat="1" applyFont="1" applyFill="1" applyBorder="1" applyAlignment="1">
      <alignment/>
    </xf>
    <xf numFmtId="10" fontId="21" fillId="36" borderId="0" xfId="63" applyNumberFormat="1" applyFont="1" applyFill="1" applyBorder="1" applyAlignment="1">
      <alignment/>
    </xf>
    <xf numFmtId="166" fontId="92" fillId="0" borderId="10" xfId="42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7" fillId="0" borderId="28" xfId="0" applyFont="1" applyFill="1" applyBorder="1" applyAlignment="1">
      <alignment horizontal="left"/>
    </xf>
    <xf numFmtId="0" fontId="95" fillId="0" borderId="0" xfId="0" applyFont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166" fontId="95" fillId="0" borderId="31" xfId="42" applyNumberFormat="1" applyFont="1" applyFill="1" applyBorder="1" applyAlignment="1">
      <alignment horizontal="center"/>
    </xf>
    <xf numFmtId="168" fontId="97" fillId="0" borderId="24" xfId="0" applyNumberFormat="1" applyFont="1" applyFill="1" applyBorder="1" applyAlignment="1">
      <alignment horizontal="center"/>
    </xf>
    <xf numFmtId="168" fontId="95" fillId="0" borderId="24" xfId="42" applyNumberFormat="1" applyFont="1" applyFill="1" applyBorder="1" applyAlignment="1">
      <alignment/>
    </xf>
    <xf numFmtId="9" fontId="95" fillId="0" borderId="32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/>
    </xf>
    <xf numFmtId="166" fontId="7" fillId="0" borderId="24" xfId="42" applyNumberFormat="1" applyFont="1" applyFill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43" fontId="88" fillId="0" borderId="0" xfId="42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6" fontId="7" fillId="0" borderId="10" xfId="42" applyNumberFormat="1" applyFont="1" applyBorder="1" applyAlignment="1">
      <alignment/>
    </xf>
    <xf numFmtId="166" fontId="8" fillId="0" borderId="10" xfId="42" applyNumberFormat="1" applyFont="1" applyBorder="1" applyAlignment="1">
      <alignment horizontal="center"/>
    </xf>
    <xf numFmtId="0" fontId="96" fillId="0" borderId="10" xfId="0" applyFont="1" applyBorder="1" applyAlignment="1">
      <alignment/>
    </xf>
    <xf numFmtId="168" fontId="7" fillId="0" borderId="10" xfId="42" applyNumberFormat="1" applyFont="1" applyBorder="1" applyAlignment="1">
      <alignment/>
    </xf>
    <xf numFmtId="166" fontId="89" fillId="0" borderId="0" xfId="42" applyNumberFormat="1" applyFont="1" applyBorder="1" applyAlignment="1">
      <alignment horizontal="center"/>
    </xf>
    <xf numFmtId="166" fontId="90" fillId="0" borderId="0" xfId="42" applyNumberFormat="1" applyFont="1" applyBorder="1" applyAlignment="1">
      <alignment horizontal="center"/>
    </xf>
    <xf numFmtId="167" fontId="90" fillId="0" borderId="0" xfId="63" applyNumberFormat="1" applyFont="1" applyBorder="1" applyAlignment="1">
      <alignment horizontal="center"/>
    </xf>
    <xf numFmtId="210" fontId="90" fillId="0" borderId="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6" fillId="0" borderId="0" xfId="0" applyFont="1" applyFill="1" applyBorder="1" applyAlignment="1" quotePrefix="1">
      <alignment horizontal="center"/>
    </xf>
    <xf numFmtId="0" fontId="98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4" xfId="58"/>
    <cellStyle name="Normal_Rates Calculation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Rate Revenue / Total Revenue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Summary!$B$3:$K$3</c:f>
              <c:strCache/>
            </c:strRef>
          </c:cat>
          <c:val>
            <c:numRef>
              <c:f>Summary!$B$14:$K$14</c:f>
              <c:numCache/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3643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$ Impact of Rate Increaes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Rates Loss per Year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Summary!$B$3:$K$3</c:f>
              <c:strCache/>
            </c:strRef>
          </c:cat>
          <c:val>
            <c:numRef>
              <c:f>Summary!$B$26:$K$26</c:f>
              <c:numCache/>
            </c:numRef>
          </c:val>
        </c:ser>
        <c:ser>
          <c:idx val="1"/>
          <c:order val="1"/>
          <c:tx>
            <c:v>Accummulative Rate Loss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Summary!$B$3:$K$3</c:f>
              <c:strCache/>
            </c:strRef>
          </c:cat>
          <c:val>
            <c:numRef>
              <c:f>Summary!$B$27:$K$27</c:f>
              <c:numCache/>
            </c:numRef>
          </c:val>
        </c:ser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65775069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80</xdr:row>
      <xdr:rowOff>0</xdr:rowOff>
    </xdr:from>
    <xdr:to>
      <xdr:col>8</xdr:col>
      <xdr:colOff>609600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57625" y="13096875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80</xdr:row>
      <xdr:rowOff>0</xdr:rowOff>
    </xdr:from>
    <xdr:to>
      <xdr:col>8</xdr:col>
      <xdr:colOff>590550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3867150" y="13096875"/>
        <a:ext cx="540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8"/>
  <sheetViews>
    <sheetView zoomScalePageLayoutView="0" workbookViewId="0" topLeftCell="A1">
      <pane xSplit="1" ySplit="3" topLeftCell="J4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W14" sqref="W14"/>
    </sheetView>
  </sheetViews>
  <sheetFormatPr defaultColWidth="15.83203125" defaultRowHeight="12.75"/>
  <cols>
    <col min="1" max="1" width="23.66015625" style="0" customWidth="1"/>
    <col min="2" max="20" width="15.83203125" style="0" customWidth="1"/>
  </cols>
  <sheetData>
    <row r="2" spans="2:42" ht="12.75">
      <c r="B2" s="8" t="s">
        <v>128</v>
      </c>
      <c r="C2" s="8" t="s">
        <v>129</v>
      </c>
      <c r="D2" s="8" t="s">
        <v>130</v>
      </c>
      <c r="E2" s="8" t="s">
        <v>131</v>
      </c>
      <c r="F2" s="5" t="s">
        <v>132</v>
      </c>
      <c r="G2" s="8" t="s">
        <v>126</v>
      </c>
      <c r="H2" s="5" t="s">
        <v>106</v>
      </c>
      <c r="I2" s="4" t="s">
        <v>105</v>
      </c>
      <c r="J2" s="4" t="s">
        <v>107</v>
      </c>
      <c r="K2" s="4" t="s">
        <v>108</v>
      </c>
      <c r="L2" s="4" t="s">
        <v>109</v>
      </c>
      <c r="M2" s="4" t="s">
        <v>110</v>
      </c>
      <c r="N2" s="4" t="s">
        <v>111</v>
      </c>
      <c r="O2" s="6" t="s">
        <v>112</v>
      </c>
      <c r="P2" s="26" t="s">
        <v>113</v>
      </c>
      <c r="Q2" s="31" t="s">
        <v>114</v>
      </c>
      <c r="R2" s="26" t="s">
        <v>117</v>
      </c>
      <c r="S2" s="4" t="s">
        <v>118</v>
      </c>
      <c r="T2" s="11" t="s">
        <v>127</v>
      </c>
      <c r="U2" s="4" t="s">
        <v>145</v>
      </c>
      <c r="V2" s="6" t="s">
        <v>146</v>
      </c>
      <c r="W2" s="5" t="s">
        <v>147</v>
      </c>
      <c r="X2" s="5" t="s">
        <v>148</v>
      </c>
      <c r="Y2" s="5" t="s">
        <v>149</v>
      </c>
      <c r="Z2" s="5" t="s">
        <v>150</v>
      </c>
      <c r="AA2" s="5" t="s">
        <v>151</v>
      </c>
      <c r="AB2" s="8" t="s">
        <v>152</v>
      </c>
      <c r="AC2" s="8" t="s">
        <v>153</v>
      </c>
      <c r="AD2" s="8" t="s">
        <v>154</v>
      </c>
      <c r="AE2" s="8" t="s">
        <v>177</v>
      </c>
      <c r="AF2" s="8" t="s">
        <v>178</v>
      </c>
      <c r="AG2" s="8" t="s">
        <v>182</v>
      </c>
      <c r="AH2" s="8" t="s">
        <v>183</v>
      </c>
      <c r="AI2" s="8" t="s">
        <v>191</v>
      </c>
      <c r="AJ2" s="8" t="s">
        <v>219</v>
      </c>
      <c r="AK2" s="8" t="s">
        <v>220</v>
      </c>
      <c r="AL2" s="8" t="s">
        <v>221</v>
      </c>
      <c r="AM2" s="8" t="s">
        <v>222</v>
      </c>
      <c r="AN2" s="8" t="s">
        <v>223</v>
      </c>
      <c r="AO2" s="8" t="s">
        <v>224</v>
      </c>
      <c r="AP2" s="8" t="s">
        <v>244</v>
      </c>
    </row>
    <row r="3" spans="2:42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19"/>
      <c r="Q3" s="19"/>
      <c r="R3" s="19"/>
      <c r="S3" s="19"/>
      <c r="T3" s="19"/>
      <c r="U3" s="4"/>
      <c r="V3" s="19" t="s">
        <v>167</v>
      </c>
      <c r="W3" s="4" t="s">
        <v>10</v>
      </c>
      <c r="X3" s="4" t="s">
        <v>11</v>
      </c>
      <c r="Y3" s="4" t="s">
        <v>12</v>
      </c>
      <c r="Z3" s="4" t="s">
        <v>13</v>
      </c>
      <c r="AA3" s="4" t="s">
        <v>14</v>
      </c>
      <c r="AB3" s="4" t="s">
        <v>15</v>
      </c>
      <c r="AC3" s="4" t="s">
        <v>16</v>
      </c>
      <c r="AD3" s="4" t="s">
        <v>17</v>
      </c>
      <c r="AE3" s="4" t="s">
        <v>18</v>
      </c>
      <c r="AF3" s="4" t="s">
        <v>19</v>
      </c>
      <c r="AG3" s="4" t="s">
        <v>135</v>
      </c>
      <c r="AH3" s="4" t="s">
        <v>136</v>
      </c>
      <c r="AI3" s="4" t="s">
        <v>137</v>
      </c>
      <c r="AJ3" s="4" t="s">
        <v>138</v>
      </c>
      <c r="AK3" s="4" t="s">
        <v>139</v>
      </c>
      <c r="AL3" s="4" t="s">
        <v>140</v>
      </c>
      <c r="AM3" s="4" t="s">
        <v>141</v>
      </c>
      <c r="AN3" s="4" t="s">
        <v>142</v>
      </c>
      <c r="AO3" s="4" t="s">
        <v>143</v>
      </c>
      <c r="AP3" s="4" t="s">
        <v>144</v>
      </c>
    </row>
    <row r="4" spans="1:42" ht="12.75">
      <c r="A4" s="21" t="s">
        <v>199</v>
      </c>
      <c r="B4" s="22">
        <f>Summary!B26</f>
        <v>0.13979264272080513</v>
      </c>
      <c r="C4" s="22">
        <f>Summary!C26</f>
        <v>-0.0434665282823041</v>
      </c>
      <c r="D4" s="22">
        <f>Summary!D26</f>
        <v>-0.09294969422901192</v>
      </c>
      <c r="E4" s="22">
        <f>Summary!E26</f>
        <v>-0.07958182206101984</v>
      </c>
      <c r="F4" s="22">
        <f>Summary!F26</f>
        <v>-0.057722572893574534</v>
      </c>
      <c r="G4" s="22">
        <f>Summary!G26</f>
        <v>-0.09649407856730213</v>
      </c>
      <c r="H4" s="22">
        <f>Summary!H26</f>
        <v>-0.10463722964471871</v>
      </c>
      <c r="I4" s="22">
        <f>Summary!I26</f>
        <v>-0.11283938228243295</v>
      </c>
      <c r="J4" s="22">
        <f>Summary!J26</f>
        <v>-0.12723393927006554</v>
      </c>
      <c r="K4" s="22">
        <f>Summary!K26</f>
        <v>-0.016644068218288573</v>
      </c>
      <c r="L4" s="22">
        <f>Summary!L26</f>
        <v>-0.08349192635057034</v>
      </c>
      <c r="M4" s="22">
        <f>Summary!M26</f>
        <v>-0.13193599485754953</v>
      </c>
      <c r="N4" s="22">
        <f>Summary!N26</f>
        <v>-0.01666754966887417</v>
      </c>
      <c r="O4" s="22">
        <f>Summary!O26</f>
        <v>0.04050756001296547</v>
      </c>
      <c r="P4" s="22">
        <f>Summary!P26</f>
        <v>0.08873971378243609</v>
      </c>
      <c r="Q4" s="22">
        <f>Summary!Q26</f>
        <v>0.015396867533846562</v>
      </c>
      <c r="R4" s="22">
        <f>Summary!R26</f>
        <v>-0.0036694056059903253</v>
      </c>
      <c r="S4" s="22">
        <f>Summary!S26</f>
        <v>-0.03554250686573505</v>
      </c>
      <c r="T4" s="22">
        <f>Summary!T26</f>
        <v>0.00015068524113405712</v>
      </c>
      <c r="U4" s="22">
        <f>Summary!U26</f>
        <v>-0.04617095553035101</v>
      </c>
      <c r="V4" s="22">
        <f>Summary!V26</f>
        <v>0.10629281032868476</v>
      </c>
      <c r="W4" s="22">
        <f>Summary!W26</f>
        <v>-0.04752199729565541</v>
      </c>
      <c r="X4" s="22">
        <f>Summary!X26</f>
        <v>0.00501936126048482</v>
      </c>
      <c r="Y4" s="22">
        <f>Summary!Y26</f>
        <v>0.005208223573588701</v>
      </c>
      <c r="Z4" s="22">
        <f>Summary!Z26</f>
        <v>0.004171711680478406</v>
      </c>
      <c r="AA4" s="22">
        <f>Summary!AA26</f>
        <v>0.0012085840742481542</v>
      </c>
      <c r="AB4" s="22">
        <f>Summary!AB26</f>
        <v>-0.0007959756555225077</v>
      </c>
      <c r="AC4" s="22">
        <f>Summary!AC26</f>
        <v>-0.0009466062032056849</v>
      </c>
      <c r="AD4" s="22">
        <f>Summary!AD26</f>
        <v>0.000549355748605332</v>
      </c>
      <c r="AE4" s="22">
        <f>Summary!AE26</f>
        <v>0.0014621604468836144</v>
      </c>
      <c r="AF4" s="22">
        <f>Summary!AF26</f>
        <v>0.00514931654108487</v>
      </c>
      <c r="AG4" s="22">
        <f>Summary!AG26</f>
        <v>0.00836740413192892</v>
      </c>
      <c r="AH4" s="22">
        <f>Summary!AH26</f>
        <v>0.005335469725186226</v>
      </c>
      <c r="AI4" s="22">
        <f>Summary!AI26</f>
        <v>0.008309974551663558</v>
      </c>
      <c r="AJ4" s="22">
        <f>Summary!AJ26</f>
        <v>0.013662613451761741</v>
      </c>
      <c r="AK4" s="22">
        <f>Summary!AK26</f>
        <v>0.018463287376487086</v>
      </c>
      <c r="AL4" s="22">
        <f>Summary!AL26</f>
        <v>0.018786312391243728</v>
      </c>
      <c r="AM4" s="22">
        <f>Summary!AM26</f>
        <v>0.022764739128452345</v>
      </c>
      <c r="AN4" s="22">
        <f>Summary!AN26</f>
        <v>0.02712126693124676</v>
      </c>
      <c r="AO4" s="22">
        <f>Summary!AO26</f>
        <v>0.03144897976031706</v>
      </c>
      <c r="AP4" s="22">
        <f>Summary!AP26</f>
        <v>0.03549774825789833</v>
      </c>
    </row>
    <row r="5" spans="1:42" ht="12.75">
      <c r="A5" s="21" t="s">
        <v>198</v>
      </c>
      <c r="B5" s="25">
        <f>Summary!B27</f>
        <v>1.9080717488789238</v>
      </c>
      <c r="C5" s="25">
        <f>Summary!C27</f>
        <v>2.244630541871921</v>
      </c>
      <c r="D5" s="25">
        <f>Summary!D27</f>
        <v>1.248202614379085</v>
      </c>
      <c r="E5" s="25">
        <f>Summary!E27</f>
        <v>1.2018582156039201</v>
      </c>
      <c r="F5" s="25">
        <f>Summary!F27</f>
        <v>1.960992236318879</v>
      </c>
      <c r="G5" s="25">
        <f>Summary!G27</f>
        <v>1.718919376693767</v>
      </c>
      <c r="H5" s="25">
        <f>Summary!H27</f>
        <v>1.4859410275706368</v>
      </c>
      <c r="I5" s="25">
        <f>Summary!I27</f>
        <v>1.6828320802005012</v>
      </c>
      <c r="J5" s="25">
        <f>Summary!J27</f>
        <v>1.3569949561985666</v>
      </c>
      <c r="K5" s="25">
        <f>Summary!K27</f>
        <v>1.8036742192284139</v>
      </c>
      <c r="L5" s="25">
        <f>Summary!L27</f>
        <v>1.6392991520188689</v>
      </c>
      <c r="M5" s="25">
        <f>Summary!M27</f>
        <v>1.626844130853111</v>
      </c>
      <c r="N5" s="25">
        <f>Summary!N27</f>
        <v>2.0562983814215343</v>
      </c>
      <c r="O5" s="25">
        <f>Summary!O27</f>
        <v>2.0420529801324503</v>
      </c>
      <c r="P5" s="25">
        <f>Summary!P27</f>
        <v>2.5297447795823667</v>
      </c>
      <c r="Q5" s="25">
        <f>Summary!Q27</f>
        <v>2.4913757909777505</v>
      </c>
      <c r="R5" s="25">
        <f>Summary!R27</f>
        <v>2.355864291624929</v>
      </c>
      <c r="S5" s="25">
        <f>Summary!S27</f>
        <v>1.5397316514443817</v>
      </c>
      <c r="T5" s="25">
        <f>Summary!T27</f>
        <v>1.8966657481399836</v>
      </c>
      <c r="U5" s="25">
        <f>Summary!U27</f>
        <v>2.326820738938726</v>
      </c>
      <c r="V5" s="25">
        <f>Summary!V27</f>
        <v>2.01078431372549</v>
      </c>
      <c r="W5" s="25">
        <f>Summary!W27</f>
        <v>1.2671648292731963</v>
      </c>
      <c r="X5" s="25">
        <f>Summary!X27</f>
        <v>1.3298705493848009</v>
      </c>
      <c r="Y5" s="25">
        <f>Summary!Y27</f>
        <v>1.2422020664729072</v>
      </c>
      <c r="Z5" s="25">
        <f>Summary!Z27</f>
        <v>1.2315527991092499</v>
      </c>
      <c r="AA5" s="25">
        <f>Summary!AA27</f>
        <v>1.2141622938317134</v>
      </c>
      <c r="AB5" s="25">
        <f>Summary!AB27</f>
        <v>1.200439642624573</v>
      </c>
      <c r="AC5" s="25">
        <f>Summary!AC27</f>
        <v>1.2623028380871506</v>
      </c>
      <c r="AD5" s="25">
        <f>Summary!AD27</f>
        <v>1.294682017049444</v>
      </c>
      <c r="AE5" s="25">
        <f>Summary!AE27</f>
        <v>1.3679761705816227</v>
      </c>
      <c r="AF5" s="25">
        <f>Summary!AF27</f>
        <v>0.7881036239964846</v>
      </c>
      <c r="AG5" s="25">
        <f>Summary!AG27</f>
        <v>1.3179376438440353</v>
      </c>
      <c r="AH5" s="25">
        <f>Summary!AH27</f>
        <v>1.4445328925938925</v>
      </c>
      <c r="AI5" s="25">
        <f>Summary!AI27</f>
        <v>1.5257737379658707</v>
      </c>
      <c r="AJ5" s="25">
        <f>Summary!AJ27</f>
        <v>1.5930813087254145</v>
      </c>
      <c r="AK5" s="25">
        <f>Summary!AK27</f>
        <v>1.6346215022330404</v>
      </c>
      <c r="AL5" s="25">
        <f>Summary!AL27</f>
        <v>1.7405397092939594</v>
      </c>
      <c r="AM5" s="25">
        <f>Summary!AM27</f>
        <v>1.7984349979110597</v>
      </c>
      <c r="AN5" s="25">
        <f>Summary!AN27</f>
        <v>2.0114540670183585</v>
      </c>
      <c r="AO5" s="25">
        <f>Summary!AO27</f>
        <v>2.574772851894161</v>
      </c>
      <c r="AP5" s="25">
        <f>Summary!AP27</f>
        <v>3.1703549309266315</v>
      </c>
    </row>
    <row r="6" spans="1:42" ht="12.75">
      <c r="A6" s="21" t="s">
        <v>200</v>
      </c>
      <c r="B6" s="22">
        <f>Summary!B28</f>
        <v>0.0801882699982648</v>
      </c>
      <c r="C6" s="22">
        <f>Summary!C28</f>
        <v>0.19418785677218475</v>
      </c>
      <c r="D6" s="22">
        <f>Summary!D28</f>
        <v>0.10108015651725673</v>
      </c>
      <c r="E6" s="22">
        <f>Summary!E28</f>
        <v>0.19228717729891187</v>
      </c>
      <c r="F6" s="22">
        <f>Summary!F28</f>
        <v>0.1703755097896536</v>
      </c>
      <c r="G6" s="22">
        <f>Summary!G28</f>
        <v>0.17036756210283074</v>
      </c>
      <c r="H6" s="22">
        <f>Summary!H28</f>
        <v>0.22603498891618237</v>
      </c>
      <c r="I6" s="22">
        <f>Summary!I28</f>
        <v>0.2311423314935608</v>
      </c>
      <c r="J6" s="22">
        <f>Summary!J28</f>
        <v>0.307954676102758</v>
      </c>
      <c r="K6" s="22">
        <f>Summary!K28</f>
        <v>0.23215862866810136</v>
      </c>
      <c r="L6" s="22">
        <f>Summary!L28</f>
        <v>0.21521558920711276</v>
      </c>
      <c r="M6" s="22">
        <f>Summary!M28</f>
        <v>0.21076011846001974</v>
      </c>
      <c r="N6" s="22">
        <f>Summary!N28</f>
        <v>0.26756026490066226</v>
      </c>
      <c r="O6" s="22">
        <f>Summary!O28</f>
        <v>0.31050393730813963</v>
      </c>
      <c r="P6" s="22">
        <f>Summary!P28</f>
        <v>0.35484492897142206</v>
      </c>
      <c r="Q6" s="22">
        <f>Summary!Q28</f>
        <v>0.3041943190868065</v>
      </c>
      <c r="R6" s="22">
        <f>Summary!R28</f>
        <v>0.3032602213239679</v>
      </c>
      <c r="S6" s="22">
        <f>Summary!S28</f>
        <v>0.34878692703354724</v>
      </c>
      <c r="T6" s="22">
        <f>Summary!T28</f>
        <v>0.23325321901346371</v>
      </c>
      <c r="U6" s="22">
        <f>Summary!U28</f>
        <v>0.33077523604707687</v>
      </c>
      <c r="V6" s="22">
        <f>Summary!V28</f>
        <v>0.3419282511210762</v>
      </c>
      <c r="W6" s="22">
        <f>Summary!W28</f>
        <v>0.4110930385989666</v>
      </c>
      <c r="X6" s="22">
        <f>Summary!X28</f>
        <v>0.24193573154003958</v>
      </c>
      <c r="Y6" s="22">
        <f>Summary!Y28</f>
        <v>0.25248348718349234</v>
      </c>
      <c r="Z6" s="22">
        <f>Summary!Z28</f>
        <v>0.2657798298230949</v>
      </c>
      <c r="AA6" s="22">
        <f>Summary!AA28</f>
        <v>0.2748040281098051</v>
      </c>
      <c r="AB6" s="22">
        <f>Summary!AB28</f>
        <v>0.2733049743983888</v>
      </c>
      <c r="AC6" s="22">
        <f>Summary!AC28</f>
        <v>0.26626240055933603</v>
      </c>
      <c r="AD6" s="22">
        <f>Summary!AD28</f>
        <v>0.26931029488339675</v>
      </c>
      <c r="AE6" s="22">
        <f>Summary!AE28</f>
        <v>0.2734522935025924</v>
      </c>
      <c r="AF6" s="22">
        <f>Summary!AF28</f>
        <v>0.2745924549112092</v>
      </c>
      <c r="AG6" s="22">
        <f>Summary!AG28</f>
        <v>0.2598903938914183</v>
      </c>
      <c r="AH6" s="22">
        <f>Summary!AH28</f>
        <v>0.2664152593869128</v>
      </c>
      <c r="AI6" s="22">
        <f>Summary!AI28</f>
        <v>0.2553703237403265</v>
      </c>
      <c r="AJ6" s="22">
        <f>Summary!AJ28</f>
        <v>0.254716546895123</v>
      </c>
      <c r="AK6" s="22">
        <f>Summary!AK28</f>
        <v>0.2453017567917338</v>
      </c>
      <c r="AL6" s="22">
        <f>Summary!AL28</f>
        <v>0.2381632115234816</v>
      </c>
      <c r="AM6" s="22">
        <f>Summary!AM28</f>
        <v>0.24030917158825915</v>
      </c>
      <c r="AN6" s="22">
        <f>Summary!AN28</f>
        <v>0.241029419583005</v>
      </c>
      <c r="AO6" s="22">
        <f>Summary!AO28</f>
        <v>0.2418903805930159</v>
      </c>
      <c r="AP6" s="22">
        <f>Summary!AP28</f>
        <v>0.2430468199996573</v>
      </c>
    </row>
    <row r="7" spans="1:42" ht="12.75">
      <c r="A7" s="21" t="s">
        <v>201</v>
      </c>
      <c r="B7" s="22">
        <f>Summary!B29</f>
        <v>0.41402469547805776</v>
      </c>
      <c r="C7" s="22">
        <f>Summary!C29</f>
        <v>0.4582922013820336</v>
      </c>
      <c r="D7" s="22">
        <f>Summary!D29</f>
        <v>0.6368622651345165</v>
      </c>
      <c r="E7" s="22">
        <f>Summary!E29</f>
        <v>0.37253478523895944</v>
      </c>
      <c r="F7" s="22">
        <f>Summary!F29</f>
        <v>0.3614309941048211</v>
      </c>
      <c r="G7" s="22">
        <f>Summary!G29</f>
        <v>0.33811906572130773</v>
      </c>
      <c r="H7" s="22">
        <f>Summary!H29</f>
        <v>0.22840104998858707</v>
      </c>
      <c r="I7" s="22">
        <f>Summary!I29</f>
        <v>0.20783414515012957</v>
      </c>
      <c r="J7" s="22">
        <f>Summary!J29</f>
        <v>0.1858530510585305</v>
      </c>
      <c r="K7" s="22">
        <f>Summary!K29</f>
        <v>0.20414821719878817</v>
      </c>
      <c r="L7" s="22">
        <f>Summary!L29</f>
        <v>0.1591648558847538</v>
      </c>
      <c r="M7" s="22">
        <f>Summary!M29</f>
        <v>0.16316498316498315</v>
      </c>
      <c r="N7" s="22">
        <f>Summary!N29</f>
        <v>0.16373037743443664</v>
      </c>
      <c r="O7" s="22">
        <f>Summary!O29</f>
        <v>0.12622321086426214</v>
      </c>
      <c r="P7" s="22">
        <f>Summary!P29</f>
        <v>0.10925544757388639</v>
      </c>
      <c r="Q7" s="22">
        <f>Summary!Q29</f>
        <v>0.09932665836679584</v>
      </c>
      <c r="R7" s="22">
        <f>Summary!R29</f>
        <v>0.08323695601890096</v>
      </c>
      <c r="S7" s="22">
        <f>Summary!S29</f>
        <v>0.0729711967729508</v>
      </c>
      <c r="T7" s="22">
        <f>Summary!T29</f>
        <v>0.06720884303168202</v>
      </c>
      <c r="U7" s="22">
        <f>Summary!U29</f>
        <v>0.23613354082861085</v>
      </c>
      <c r="V7" s="22">
        <f>Summary!V29</f>
        <v>0.17309347564124633</v>
      </c>
      <c r="W7" s="22">
        <f>Summary!W29</f>
        <v>0.2805450455721548</v>
      </c>
      <c r="X7" s="22">
        <f>Summary!X29</f>
        <v>0.2874909162013519</v>
      </c>
      <c r="Y7" s="22">
        <f>Summary!Y29</f>
        <v>0.2920263506585386</v>
      </c>
      <c r="Z7" s="22">
        <f>Summary!Z29</f>
        <v>0.31985296176153344</v>
      </c>
      <c r="AA7" s="22">
        <f>Summary!AA29</f>
        <v>0.33716956650128294</v>
      </c>
      <c r="AB7" s="22">
        <f>Summary!AB29</f>
        <v>0.33252292124842986</v>
      </c>
      <c r="AC7" s="22">
        <f>Summary!AC29</f>
        <v>0.31295187631813876</v>
      </c>
      <c r="AD7" s="22">
        <f>Summary!AD29</f>
        <v>0.30225435624557656</v>
      </c>
      <c r="AE7" s="22">
        <f>Summary!AE29</f>
        <v>0.2628507948849499</v>
      </c>
      <c r="AF7" s="22">
        <f>Summary!AF29</f>
        <v>0.1552030544080005</v>
      </c>
      <c r="AG7" s="22">
        <f>Summary!AG29</f>
        <v>0.2285191038568055</v>
      </c>
      <c r="AH7" s="22">
        <f>Summary!AH29</f>
        <v>0.20891228191771252</v>
      </c>
      <c r="AI7" s="22">
        <f>Summary!AI29</f>
        <v>0.16279345281981317</v>
      </c>
      <c r="AJ7" s="22">
        <f>Summary!AJ29</f>
        <v>0.12343520015653385</v>
      </c>
      <c r="AK7" s="22">
        <f>Summary!AK29</f>
        <v>0.13754462856588243</v>
      </c>
      <c r="AL7" s="22">
        <f>Summary!AL29</f>
        <v>0.1100545747135043</v>
      </c>
      <c r="AM7" s="22">
        <f>Summary!AM29</f>
        <v>0.07536585088186301</v>
      </c>
      <c r="AN7" s="22">
        <f>Summary!AN29</f>
        <v>0.04655426490240805</v>
      </c>
      <c r="AO7" s="22">
        <f>Summary!AO29</f>
        <v>0.0339335921930439</v>
      </c>
      <c r="AP7" s="22">
        <f>Summary!AP29</f>
        <v>0.025680388274703498</v>
      </c>
    </row>
    <row r="8" spans="1:42" ht="12.75">
      <c r="A8" s="21" t="s">
        <v>202</v>
      </c>
      <c r="B8" s="23">
        <f>Summary!B30</f>
        <v>0</v>
      </c>
      <c r="C8" s="23">
        <f>Summary!C30</f>
        <v>0</v>
      </c>
      <c r="D8" s="23">
        <f>Summary!D30</f>
        <v>0</v>
      </c>
      <c r="E8" s="23">
        <f>Summary!E30</f>
        <v>0</v>
      </c>
      <c r="F8" s="23">
        <f>Summary!F30</f>
        <v>0</v>
      </c>
      <c r="G8" s="23">
        <f>Summary!G30</f>
        <v>0.7391838741396264</v>
      </c>
      <c r="H8" s="23">
        <f>Summary!H30</f>
        <v>1.3683474279900807</v>
      </c>
      <c r="I8" s="23">
        <f>Summary!I30</f>
        <v>1.142970454094785</v>
      </c>
      <c r="J8" s="23">
        <f>Summary!J30</f>
        <v>1.4936028079710144</v>
      </c>
      <c r="K8" s="23">
        <f>Summary!K30</f>
        <v>2.2444444444444445</v>
      </c>
      <c r="L8" s="23">
        <f>Summary!L30</f>
        <v>1.5722032113714135</v>
      </c>
      <c r="M8" s="23">
        <f>Summary!M30</f>
        <v>1.325002499250225</v>
      </c>
      <c r="N8" s="23">
        <f>Summary!N30</f>
        <v>1.3900115328686757</v>
      </c>
      <c r="O8" s="23">
        <f>Summary!O30</f>
        <v>1.6789832547879273</v>
      </c>
      <c r="P8" s="23">
        <f>Summary!P30</f>
        <v>1.4311882147703043</v>
      </c>
      <c r="Q8" s="23">
        <f>Summary!Q30</f>
        <v>2.1696997270245677</v>
      </c>
      <c r="R8" s="23">
        <f>Summary!R30</f>
        <v>1.5969855588966848</v>
      </c>
      <c r="S8" s="23">
        <f>Summary!S30</f>
        <v>2.3432296975874958</v>
      </c>
      <c r="T8" s="23">
        <f>Summary!T30</f>
        <v>2.269254877379926</v>
      </c>
      <c r="U8" s="23">
        <f>Summary!U30</f>
        <v>2.4739044706450444</v>
      </c>
      <c r="V8" s="23">
        <f>Summary!V30</f>
        <v>2.62597258243794</v>
      </c>
      <c r="W8" s="23">
        <f>Summary!W30</f>
        <v>3.456767435449784</v>
      </c>
      <c r="X8" s="23">
        <f>Summary!X30</f>
        <v>1.925847652301755</v>
      </c>
      <c r="Y8" s="23">
        <f>Summary!Y30</f>
        <v>1.9762650287321795</v>
      </c>
      <c r="Z8" s="23">
        <f>Summary!Z30</f>
        <v>1.996309681549187</v>
      </c>
      <c r="AA8" s="23">
        <f>Summary!AA30</f>
        <v>1.9060774633122417</v>
      </c>
      <c r="AB8" s="23">
        <f>Summary!AB30</f>
        <v>1.7954055989421864</v>
      </c>
      <c r="AC8" s="23">
        <f>Summary!AC30</f>
        <v>1.6651016170564805</v>
      </c>
      <c r="AD8" s="23">
        <f>Summary!AD30</f>
        <v>1.7134979427504617</v>
      </c>
      <c r="AE8" s="23">
        <f>Summary!AE30</f>
        <v>1.5923151531985527</v>
      </c>
      <c r="AF8" s="23">
        <f>Summary!AF30</f>
        <v>1.701183942932886</v>
      </c>
      <c r="AG8" s="23">
        <f>Summary!AG30</f>
        <v>1.5589510696276396</v>
      </c>
      <c r="AH8" s="23">
        <f>Summary!AH30</f>
        <v>1.4564699157548207</v>
      </c>
      <c r="AI8" s="23">
        <f>Summary!AI30</f>
        <v>1.4142396942442406</v>
      </c>
      <c r="AJ8" s="23">
        <f>Summary!AJ30</f>
        <v>1.360706739731119</v>
      </c>
      <c r="AK8" s="23">
        <f>Summary!AK30</f>
        <v>1.5922414873880242</v>
      </c>
      <c r="AL8" s="23">
        <f>Summary!AL30</f>
        <v>1.319442746434533</v>
      </c>
      <c r="AM8" s="23">
        <f>Summary!AM30</f>
        <v>1.31361067490798</v>
      </c>
      <c r="AN8" s="23">
        <f>Summary!AN30</f>
        <v>1.2967579563091007</v>
      </c>
      <c r="AO8" s="23">
        <f>Summary!AO30</f>
        <v>1.331006110902651</v>
      </c>
      <c r="AP8" s="23">
        <f>Summary!AP30</f>
        <v>1.3287243149510741</v>
      </c>
    </row>
    <row r="10" ht="12.75">
      <c r="B10" s="22"/>
    </row>
    <row r="13" spans="1:42" ht="12.75">
      <c r="A13" t="s">
        <v>199</v>
      </c>
      <c r="B13" s="24" t="str">
        <f>IF(B4&lt;=-0.1,"High",IF(B4&gt;0,"Low","Medium"))</f>
        <v>Low</v>
      </c>
      <c r="C13" s="24" t="str">
        <f>IF(C4&lt;=-0.1,"High",IF(C4&gt;0,"Low","Medium"))</f>
        <v>Medium</v>
      </c>
      <c r="D13" s="24" t="str">
        <f>IF(D4&lt;=-0.1,"High",IF(D4&gt;0,"Low","Medium"))</f>
        <v>Medium</v>
      </c>
      <c r="E13" s="24" t="str">
        <f aca="true" t="shared" si="0" ref="E13:S13">IF(E4&lt;=-0.1,"High",IF(E4&gt;0,"Low","Medium"))</f>
        <v>Medium</v>
      </c>
      <c r="F13" s="24" t="str">
        <f t="shared" si="0"/>
        <v>Medium</v>
      </c>
      <c r="G13" s="24" t="str">
        <f t="shared" si="0"/>
        <v>Medium</v>
      </c>
      <c r="H13" s="24" t="str">
        <f t="shared" si="0"/>
        <v>High</v>
      </c>
      <c r="I13" s="24" t="str">
        <f t="shared" si="0"/>
        <v>High</v>
      </c>
      <c r="J13" s="24" t="str">
        <f t="shared" si="0"/>
        <v>High</v>
      </c>
      <c r="K13" s="24" t="str">
        <f t="shared" si="0"/>
        <v>Medium</v>
      </c>
      <c r="L13" s="24" t="str">
        <f t="shared" si="0"/>
        <v>Medium</v>
      </c>
      <c r="M13" s="24" t="str">
        <f t="shared" si="0"/>
        <v>High</v>
      </c>
      <c r="N13" s="24" t="str">
        <f t="shared" si="0"/>
        <v>Medium</v>
      </c>
      <c r="O13" s="24" t="str">
        <f t="shared" si="0"/>
        <v>Low</v>
      </c>
      <c r="P13" s="24" t="str">
        <f t="shared" si="0"/>
        <v>Low</v>
      </c>
      <c r="Q13" s="24" t="str">
        <f>IF(Q4&lt;=-0.1,"High",IF(Q4&gt;0,"Low","Medium"))</f>
        <v>Low</v>
      </c>
      <c r="R13" s="24" t="str">
        <f t="shared" si="0"/>
        <v>Medium</v>
      </c>
      <c r="S13" s="24" t="str">
        <f t="shared" si="0"/>
        <v>Medium</v>
      </c>
      <c r="T13" s="24" t="str">
        <f aca="true" t="shared" si="1" ref="T13:AM13">IF(T4&lt;=-0.1,"High",IF(T4&gt;0,"Low","Medium"))</f>
        <v>Low</v>
      </c>
      <c r="U13" s="24" t="str">
        <f t="shared" si="1"/>
        <v>Medium</v>
      </c>
      <c r="V13" s="24" t="str">
        <f t="shared" si="1"/>
        <v>Low</v>
      </c>
      <c r="W13" s="24" t="str">
        <f t="shared" si="1"/>
        <v>Medium</v>
      </c>
      <c r="X13" s="24" t="str">
        <f t="shared" si="1"/>
        <v>Low</v>
      </c>
      <c r="Y13" s="24" t="str">
        <f t="shared" si="1"/>
        <v>Low</v>
      </c>
      <c r="Z13" s="24" t="str">
        <f t="shared" si="1"/>
        <v>Low</v>
      </c>
      <c r="AA13" s="24" t="str">
        <f t="shared" si="1"/>
        <v>Low</v>
      </c>
      <c r="AB13" s="24" t="str">
        <f t="shared" si="1"/>
        <v>Medium</v>
      </c>
      <c r="AC13" s="24" t="str">
        <f t="shared" si="1"/>
        <v>Medium</v>
      </c>
      <c r="AD13" s="24" t="str">
        <f t="shared" si="1"/>
        <v>Low</v>
      </c>
      <c r="AE13" s="24" t="str">
        <f t="shared" si="1"/>
        <v>Low</v>
      </c>
      <c r="AF13" s="24" t="str">
        <f t="shared" si="1"/>
        <v>Low</v>
      </c>
      <c r="AG13" s="24" t="str">
        <f t="shared" si="1"/>
        <v>Low</v>
      </c>
      <c r="AH13" s="24" t="str">
        <f t="shared" si="1"/>
        <v>Low</v>
      </c>
      <c r="AI13" s="24" t="str">
        <f t="shared" si="1"/>
        <v>Low</v>
      </c>
      <c r="AJ13" s="24" t="str">
        <f t="shared" si="1"/>
        <v>Low</v>
      </c>
      <c r="AK13" s="24" t="str">
        <f t="shared" si="1"/>
        <v>Low</v>
      </c>
      <c r="AL13" s="24" t="str">
        <f t="shared" si="1"/>
        <v>Low</v>
      </c>
      <c r="AM13" s="24" t="str">
        <f t="shared" si="1"/>
        <v>Low</v>
      </c>
      <c r="AN13" s="24" t="str">
        <f>IF(AN4&lt;=-0.1,"High",IF(AN4&gt;0,"Low","Medium"))</f>
        <v>Low</v>
      </c>
      <c r="AO13" s="24" t="str">
        <f>IF(AO4&lt;=-0.1,"High",IF(AO4&gt;0,"Low","Medium"))</f>
        <v>Low</v>
      </c>
      <c r="AP13" s="24" t="str">
        <f>IF(AP4&lt;=-0.1,"High",IF(AP4&gt;0,"Low","Medium"))</f>
        <v>Low</v>
      </c>
    </row>
    <row r="14" spans="1:42" ht="12.75">
      <c r="A14" t="s">
        <v>198</v>
      </c>
      <c r="B14" s="24" t="str">
        <f>IF(B5&lt;=1,"High",IF(B5&gt;1.5,"Low","Medium"))</f>
        <v>Low</v>
      </c>
      <c r="C14" s="24" t="str">
        <f aca="true" t="shared" si="2" ref="C14:S14">IF(C5&lt;=1,"High",IF(C5&gt;1.5,"Low","Medium"))</f>
        <v>Low</v>
      </c>
      <c r="D14" s="24" t="str">
        <f t="shared" si="2"/>
        <v>Medium</v>
      </c>
      <c r="E14" s="24" t="str">
        <f t="shared" si="2"/>
        <v>Medium</v>
      </c>
      <c r="F14" s="24" t="str">
        <f t="shared" si="2"/>
        <v>Low</v>
      </c>
      <c r="G14" s="24" t="str">
        <f t="shared" si="2"/>
        <v>Low</v>
      </c>
      <c r="H14" s="24" t="str">
        <f t="shared" si="2"/>
        <v>Medium</v>
      </c>
      <c r="I14" s="24" t="str">
        <f t="shared" si="2"/>
        <v>Low</v>
      </c>
      <c r="J14" s="24" t="str">
        <f t="shared" si="2"/>
        <v>Medium</v>
      </c>
      <c r="K14" s="24" t="str">
        <f t="shared" si="2"/>
        <v>Low</v>
      </c>
      <c r="L14" s="24" t="str">
        <f t="shared" si="2"/>
        <v>Low</v>
      </c>
      <c r="M14" s="24" t="str">
        <f t="shared" si="2"/>
        <v>Low</v>
      </c>
      <c r="N14" s="24" t="str">
        <f t="shared" si="2"/>
        <v>Low</v>
      </c>
      <c r="O14" s="24" t="str">
        <f t="shared" si="2"/>
        <v>Low</v>
      </c>
      <c r="P14" s="24" t="str">
        <f t="shared" si="2"/>
        <v>Low</v>
      </c>
      <c r="Q14" s="24" t="str">
        <f>IF(Q5&lt;=1,"High",IF(Q5&gt;1.5,"Low","Medium"))</f>
        <v>Low</v>
      </c>
      <c r="R14" s="24" t="str">
        <f t="shared" si="2"/>
        <v>Low</v>
      </c>
      <c r="S14" s="24" t="str">
        <f t="shared" si="2"/>
        <v>Low</v>
      </c>
      <c r="T14" s="24" t="str">
        <f aca="true" t="shared" si="3" ref="T14:AM14">IF(T5&lt;=1,"High",IF(T5&gt;1.5,"Low","Medium"))</f>
        <v>Low</v>
      </c>
      <c r="U14" s="24" t="str">
        <f t="shared" si="3"/>
        <v>Low</v>
      </c>
      <c r="V14" s="24" t="str">
        <f t="shared" si="3"/>
        <v>Low</v>
      </c>
      <c r="W14" s="24" t="str">
        <f t="shared" si="3"/>
        <v>Medium</v>
      </c>
      <c r="X14" s="24" t="str">
        <f t="shared" si="3"/>
        <v>Medium</v>
      </c>
      <c r="Y14" s="24" t="str">
        <f t="shared" si="3"/>
        <v>Medium</v>
      </c>
      <c r="Z14" s="24" t="str">
        <f t="shared" si="3"/>
        <v>Medium</v>
      </c>
      <c r="AA14" s="24" t="str">
        <f t="shared" si="3"/>
        <v>Medium</v>
      </c>
      <c r="AB14" s="24" t="str">
        <f t="shared" si="3"/>
        <v>Medium</v>
      </c>
      <c r="AC14" s="24" t="str">
        <f t="shared" si="3"/>
        <v>Medium</v>
      </c>
      <c r="AD14" s="24" t="str">
        <f t="shared" si="3"/>
        <v>Medium</v>
      </c>
      <c r="AE14" s="24" t="str">
        <f t="shared" si="3"/>
        <v>Medium</v>
      </c>
      <c r="AF14" s="24" t="str">
        <f t="shared" si="3"/>
        <v>High</v>
      </c>
      <c r="AG14" s="24" t="str">
        <f t="shared" si="3"/>
        <v>Medium</v>
      </c>
      <c r="AH14" s="24" t="str">
        <f t="shared" si="3"/>
        <v>Medium</v>
      </c>
      <c r="AI14" s="24" t="str">
        <f t="shared" si="3"/>
        <v>Low</v>
      </c>
      <c r="AJ14" s="24" t="str">
        <f t="shared" si="3"/>
        <v>Low</v>
      </c>
      <c r="AK14" s="24" t="str">
        <f t="shared" si="3"/>
        <v>Low</v>
      </c>
      <c r="AL14" s="24" t="str">
        <f t="shared" si="3"/>
        <v>Low</v>
      </c>
      <c r="AM14" s="24" t="str">
        <f t="shared" si="3"/>
        <v>Low</v>
      </c>
      <c r="AN14" s="24" t="str">
        <f>IF(AN5&lt;=1,"High",IF(AN5&gt;1.5,"Low","Medium"))</f>
        <v>Low</v>
      </c>
      <c r="AO14" s="24" t="str">
        <f>IF(AO5&lt;=1,"High",IF(AO5&gt;1.5,"Low","Medium"))</f>
        <v>Low</v>
      </c>
      <c r="AP14" s="24" t="str">
        <f>IF(AP5&lt;=1,"High",IF(AP5&gt;1.5,"Low","Medium"))</f>
        <v>Low</v>
      </c>
    </row>
    <row r="15" spans="1:42" ht="12.75">
      <c r="A15" t="s">
        <v>200</v>
      </c>
      <c r="B15" s="24" t="str">
        <f>IF(B6&lt;0.1,"High",IF(B6&gt;=0.2,"Low","Medium"))</f>
        <v>High</v>
      </c>
      <c r="C15" s="24" t="str">
        <f>IF(C6&lt;0.1,"High",IF(C6&gt;=0.2,"Low","Medium"))</f>
        <v>Medium</v>
      </c>
      <c r="D15" s="24" t="str">
        <f aca="true" t="shared" si="4" ref="D15:S15">IF(D6&lt;0.1,"High",IF(D6&gt;=0.2,"Low","Medium"))</f>
        <v>Medium</v>
      </c>
      <c r="E15" s="24" t="str">
        <f t="shared" si="4"/>
        <v>Medium</v>
      </c>
      <c r="F15" s="24" t="str">
        <f t="shared" si="4"/>
        <v>Medium</v>
      </c>
      <c r="G15" s="24" t="str">
        <f t="shared" si="4"/>
        <v>Medium</v>
      </c>
      <c r="H15" s="24" t="str">
        <f t="shared" si="4"/>
        <v>Low</v>
      </c>
      <c r="I15" s="24" t="str">
        <f t="shared" si="4"/>
        <v>Low</v>
      </c>
      <c r="J15" s="24" t="str">
        <f t="shared" si="4"/>
        <v>Low</v>
      </c>
      <c r="K15" s="24" t="str">
        <f t="shared" si="4"/>
        <v>Low</v>
      </c>
      <c r="L15" s="24" t="str">
        <f t="shared" si="4"/>
        <v>Low</v>
      </c>
      <c r="M15" s="24" t="str">
        <f t="shared" si="4"/>
        <v>Low</v>
      </c>
      <c r="N15" s="24" t="str">
        <f t="shared" si="4"/>
        <v>Low</v>
      </c>
      <c r="O15" s="24" t="str">
        <f t="shared" si="4"/>
        <v>Low</v>
      </c>
      <c r="P15" s="24" t="str">
        <f t="shared" si="4"/>
        <v>Low</v>
      </c>
      <c r="Q15" s="24" t="str">
        <f>IF(Q6&lt;0.1,"High",IF(Q6&gt;=0.2,"Low","Medium"))</f>
        <v>Low</v>
      </c>
      <c r="R15" s="24" t="str">
        <f t="shared" si="4"/>
        <v>Low</v>
      </c>
      <c r="S15" s="24" t="str">
        <f t="shared" si="4"/>
        <v>Low</v>
      </c>
      <c r="T15" s="24" t="str">
        <f aca="true" t="shared" si="5" ref="T15:AM15">IF(T6&lt;0.1,"High",IF(T6&gt;=0.2,"Low","Medium"))</f>
        <v>Low</v>
      </c>
      <c r="U15" s="24" t="str">
        <f t="shared" si="5"/>
        <v>Low</v>
      </c>
      <c r="V15" s="24" t="str">
        <f t="shared" si="5"/>
        <v>Low</v>
      </c>
      <c r="W15" s="24" t="str">
        <f t="shared" si="5"/>
        <v>Low</v>
      </c>
      <c r="X15" s="24" t="str">
        <f t="shared" si="5"/>
        <v>Low</v>
      </c>
      <c r="Y15" s="24" t="str">
        <f t="shared" si="5"/>
        <v>Low</v>
      </c>
      <c r="Z15" s="24" t="str">
        <f t="shared" si="5"/>
        <v>Low</v>
      </c>
      <c r="AA15" s="24" t="str">
        <f t="shared" si="5"/>
        <v>Low</v>
      </c>
      <c r="AB15" s="24" t="str">
        <f t="shared" si="5"/>
        <v>Low</v>
      </c>
      <c r="AC15" s="24" t="str">
        <f t="shared" si="5"/>
        <v>Low</v>
      </c>
      <c r="AD15" s="24" t="str">
        <f t="shared" si="5"/>
        <v>Low</v>
      </c>
      <c r="AE15" s="24" t="str">
        <f t="shared" si="5"/>
        <v>Low</v>
      </c>
      <c r="AF15" s="24" t="str">
        <f t="shared" si="5"/>
        <v>Low</v>
      </c>
      <c r="AG15" s="24" t="str">
        <f t="shared" si="5"/>
        <v>Low</v>
      </c>
      <c r="AH15" s="24" t="str">
        <f t="shared" si="5"/>
        <v>Low</v>
      </c>
      <c r="AI15" s="24" t="str">
        <f t="shared" si="5"/>
        <v>Low</v>
      </c>
      <c r="AJ15" s="24" t="str">
        <f t="shared" si="5"/>
        <v>Low</v>
      </c>
      <c r="AK15" s="24" t="str">
        <f t="shared" si="5"/>
        <v>Low</v>
      </c>
      <c r="AL15" s="24" t="str">
        <f t="shared" si="5"/>
        <v>Low</v>
      </c>
      <c r="AM15" s="24" t="str">
        <f t="shared" si="5"/>
        <v>Low</v>
      </c>
      <c r="AN15" s="24" t="str">
        <f>IF(AN6&lt;0.1,"High",IF(AN6&gt;=0.2,"Low","Medium"))</f>
        <v>Low</v>
      </c>
      <c r="AO15" s="24" t="str">
        <f>IF(AO6&lt;0.1,"High",IF(AO6&gt;=0.2,"Low","Medium"))</f>
        <v>Low</v>
      </c>
      <c r="AP15" s="24" t="str">
        <f>IF(AP6&lt;0.1,"High",IF(AP6&gt;=0.2,"Low","Medium"))</f>
        <v>Low</v>
      </c>
    </row>
    <row r="16" spans="1:42" ht="12.75">
      <c r="A16" t="s">
        <v>201</v>
      </c>
      <c r="B16" s="24" t="str">
        <f>IF(B7&gt;0.6,"High",IF(B7&lt;=0.4,"Low","Medium"))</f>
        <v>Medium</v>
      </c>
      <c r="C16" s="24" t="str">
        <f aca="true" t="shared" si="6" ref="C16:S16">IF(C7&gt;0.6,"High",IF(C7&lt;=0.4,"Low","Medium"))</f>
        <v>Medium</v>
      </c>
      <c r="D16" s="24" t="str">
        <f t="shared" si="6"/>
        <v>High</v>
      </c>
      <c r="E16" s="24" t="str">
        <f t="shared" si="6"/>
        <v>Low</v>
      </c>
      <c r="F16" s="24" t="str">
        <f t="shared" si="6"/>
        <v>Low</v>
      </c>
      <c r="G16" s="24" t="str">
        <f t="shared" si="6"/>
        <v>Low</v>
      </c>
      <c r="H16" s="24" t="str">
        <f t="shared" si="6"/>
        <v>Low</v>
      </c>
      <c r="I16" s="24" t="str">
        <f t="shared" si="6"/>
        <v>Low</v>
      </c>
      <c r="J16" s="24" t="str">
        <f t="shared" si="6"/>
        <v>Low</v>
      </c>
      <c r="K16" s="24" t="str">
        <f t="shared" si="6"/>
        <v>Low</v>
      </c>
      <c r="L16" s="24" t="str">
        <f t="shared" si="6"/>
        <v>Low</v>
      </c>
      <c r="M16" s="24" t="str">
        <f t="shared" si="6"/>
        <v>Low</v>
      </c>
      <c r="N16" s="24" t="str">
        <f t="shared" si="6"/>
        <v>Low</v>
      </c>
      <c r="O16" s="24" t="str">
        <f t="shared" si="6"/>
        <v>Low</v>
      </c>
      <c r="P16" s="24" t="str">
        <f t="shared" si="6"/>
        <v>Low</v>
      </c>
      <c r="Q16" s="24" t="str">
        <f>IF(Q7&gt;0.6,"High",IF(Q7&lt;=0.4,"Low","Medium"))</f>
        <v>Low</v>
      </c>
      <c r="R16" s="24" t="str">
        <f t="shared" si="6"/>
        <v>Low</v>
      </c>
      <c r="S16" s="24" t="str">
        <f t="shared" si="6"/>
        <v>Low</v>
      </c>
      <c r="T16" s="24" t="str">
        <f aca="true" t="shared" si="7" ref="T16:AM16">IF(T7&gt;0.6,"High",IF(T7&lt;=0.4,"Low","Medium"))</f>
        <v>Low</v>
      </c>
      <c r="U16" s="24" t="str">
        <f t="shared" si="7"/>
        <v>Low</v>
      </c>
      <c r="V16" s="24" t="str">
        <f t="shared" si="7"/>
        <v>Low</v>
      </c>
      <c r="W16" s="24" t="str">
        <f t="shared" si="7"/>
        <v>Low</v>
      </c>
      <c r="X16" s="24" t="str">
        <f t="shared" si="7"/>
        <v>Low</v>
      </c>
      <c r="Y16" s="24" t="str">
        <f t="shared" si="7"/>
        <v>Low</v>
      </c>
      <c r="Z16" s="24" t="str">
        <f t="shared" si="7"/>
        <v>Low</v>
      </c>
      <c r="AA16" s="24" t="str">
        <f t="shared" si="7"/>
        <v>Low</v>
      </c>
      <c r="AB16" s="24" t="str">
        <f t="shared" si="7"/>
        <v>Low</v>
      </c>
      <c r="AC16" s="24" t="str">
        <f t="shared" si="7"/>
        <v>Low</v>
      </c>
      <c r="AD16" s="24" t="str">
        <f t="shared" si="7"/>
        <v>Low</v>
      </c>
      <c r="AE16" s="24" t="str">
        <f t="shared" si="7"/>
        <v>Low</v>
      </c>
      <c r="AF16" s="24" t="str">
        <f t="shared" si="7"/>
        <v>Low</v>
      </c>
      <c r="AG16" s="24" t="str">
        <f t="shared" si="7"/>
        <v>Low</v>
      </c>
      <c r="AH16" s="24" t="str">
        <f t="shared" si="7"/>
        <v>Low</v>
      </c>
      <c r="AI16" s="24" t="str">
        <f t="shared" si="7"/>
        <v>Low</v>
      </c>
      <c r="AJ16" s="24" t="str">
        <f t="shared" si="7"/>
        <v>Low</v>
      </c>
      <c r="AK16" s="24" t="str">
        <f t="shared" si="7"/>
        <v>Low</v>
      </c>
      <c r="AL16" s="24" t="str">
        <f t="shared" si="7"/>
        <v>Low</v>
      </c>
      <c r="AM16" s="24" t="str">
        <f t="shared" si="7"/>
        <v>Low</v>
      </c>
      <c r="AN16" s="24" t="str">
        <f>IF(AN7&gt;0.6,"High",IF(AN7&lt;=0.4,"Low","Medium"))</f>
        <v>Low</v>
      </c>
      <c r="AO16" s="24" t="str">
        <f>IF(AO7&gt;0.6,"High",IF(AO7&lt;=0.4,"Low","Medium"))</f>
        <v>Low</v>
      </c>
      <c r="AP16" s="24" t="str">
        <f>IF(AP7&gt;0.6,"High",IF(AP7&lt;=0.4,"Low","Medium"))</f>
        <v>Low</v>
      </c>
    </row>
    <row r="17" spans="1:42" ht="12.75">
      <c r="A17" t="s">
        <v>202</v>
      </c>
      <c r="B17" s="24" t="str">
        <f>IF(B8&lt;=1,"High",IF(B8&gt;1.5,"Low","Medium"))</f>
        <v>High</v>
      </c>
      <c r="C17" s="24" t="str">
        <f aca="true" t="shared" si="8" ref="C17:S17">IF(C8&lt;=1,"High",IF(C8&gt;1.5,"Low","Medium"))</f>
        <v>High</v>
      </c>
      <c r="D17" s="24" t="str">
        <f t="shared" si="8"/>
        <v>High</v>
      </c>
      <c r="E17" s="24" t="str">
        <f t="shared" si="8"/>
        <v>High</v>
      </c>
      <c r="F17" s="24" t="str">
        <f t="shared" si="8"/>
        <v>High</v>
      </c>
      <c r="G17" s="24" t="str">
        <f t="shared" si="8"/>
        <v>High</v>
      </c>
      <c r="H17" s="24" t="str">
        <f t="shared" si="8"/>
        <v>Medium</v>
      </c>
      <c r="I17" s="24" t="str">
        <f t="shared" si="8"/>
        <v>Medium</v>
      </c>
      <c r="J17" s="24" t="str">
        <f t="shared" si="8"/>
        <v>Medium</v>
      </c>
      <c r="K17" s="24" t="str">
        <f t="shared" si="8"/>
        <v>Low</v>
      </c>
      <c r="L17" s="24" t="str">
        <f t="shared" si="8"/>
        <v>Low</v>
      </c>
      <c r="M17" s="24" t="str">
        <f t="shared" si="8"/>
        <v>Medium</v>
      </c>
      <c r="N17" s="24" t="str">
        <f t="shared" si="8"/>
        <v>Medium</v>
      </c>
      <c r="O17" s="24" t="str">
        <f t="shared" si="8"/>
        <v>Low</v>
      </c>
      <c r="P17" s="24" t="str">
        <f t="shared" si="8"/>
        <v>Medium</v>
      </c>
      <c r="Q17" s="24" t="str">
        <f>IF(Q8&lt;=1,"High",IF(Q8&gt;1.5,"Low","Medium"))</f>
        <v>Low</v>
      </c>
      <c r="R17" s="24" t="str">
        <f t="shared" si="8"/>
        <v>Low</v>
      </c>
      <c r="S17" s="24" t="str">
        <f t="shared" si="8"/>
        <v>Low</v>
      </c>
      <c r="T17" s="24" t="str">
        <f aca="true" t="shared" si="9" ref="T17:AM17">IF(T8&lt;=1,"High",IF(T8&gt;1.5,"Low","Medium"))</f>
        <v>Low</v>
      </c>
      <c r="U17" s="24" t="str">
        <f t="shared" si="9"/>
        <v>Low</v>
      </c>
      <c r="V17" s="24" t="str">
        <f t="shared" si="9"/>
        <v>Low</v>
      </c>
      <c r="W17" s="24" t="str">
        <f t="shared" si="9"/>
        <v>Low</v>
      </c>
      <c r="X17" s="24" t="str">
        <f t="shared" si="9"/>
        <v>Low</v>
      </c>
      <c r="Y17" s="24" t="str">
        <f t="shared" si="9"/>
        <v>Low</v>
      </c>
      <c r="Z17" s="24" t="str">
        <f t="shared" si="9"/>
        <v>Low</v>
      </c>
      <c r="AA17" s="24" t="str">
        <f t="shared" si="9"/>
        <v>Low</v>
      </c>
      <c r="AB17" s="24" t="str">
        <f t="shared" si="9"/>
        <v>Low</v>
      </c>
      <c r="AC17" s="24" t="str">
        <f t="shared" si="9"/>
        <v>Low</v>
      </c>
      <c r="AD17" s="24" t="str">
        <f t="shared" si="9"/>
        <v>Low</v>
      </c>
      <c r="AE17" s="24" t="str">
        <f t="shared" si="9"/>
        <v>Low</v>
      </c>
      <c r="AF17" s="24" t="str">
        <f t="shared" si="9"/>
        <v>Low</v>
      </c>
      <c r="AG17" s="24" t="str">
        <f t="shared" si="9"/>
        <v>Low</v>
      </c>
      <c r="AH17" s="24" t="str">
        <f t="shared" si="9"/>
        <v>Medium</v>
      </c>
      <c r="AI17" s="24" t="str">
        <f t="shared" si="9"/>
        <v>Medium</v>
      </c>
      <c r="AJ17" s="24" t="str">
        <f t="shared" si="9"/>
        <v>Medium</v>
      </c>
      <c r="AK17" s="24" t="str">
        <f t="shared" si="9"/>
        <v>Low</v>
      </c>
      <c r="AL17" s="24" t="str">
        <f t="shared" si="9"/>
        <v>Medium</v>
      </c>
      <c r="AM17" s="24" t="str">
        <f t="shared" si="9"/>
        <v>Medium</v>
      </c>
      <c r="AN17" s="24" t="str">
        <f>IF(AN8&lt;=1,"High",IF(AN8&gt;1.5,"Low","Medium"))</f>
        <v>Medium</v>
      </c>
      <c r="AO17" s="24" t="str">
        <f>IF(AO8&lt;=1,"High",IF(AO8&gt;1.5,"Low","Medium"))</f>
        <v>Medium</v>
      </c>
      <c r="AP17" s="24" t="str">
        <f>IF(AP8&lt;=1,"High",IF(AP8&gt;1.5,"Low","Medium"))</f>
        <v>Medium</v>
      </c>
    </row>
    <row r="20" ht="12.75">
      <c r="A20" s="7" t="s">
        <v>218</v>
      </c>
    </row>
    <row r="21" ht="12.75">
      <c r="X21" s="3"/>
    </row>
    <row r="22" ht="12.75">
      <c r="X22" s="3"/>
    </row>
    <row r="23" ht="12.75">
      <c r="X23" s="3"/>
    </row>
    <row r="24" ht="12.75">
      <c r="X24" s="3"/>
    </row>
    <row r="25" spans="1:2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</sheetData>
  <sheetProtection/>
  <conditionalFormatting sqref="B13:AP17">
    <cfRule type="cellIs" priority="1" dxfId="2" operator="equal" stopIfTrue="1">
      <formula>"Low"</formula>
    </cfRule>
    <cfRule type="cellIs" priority="2" dxfId="5" operator="equal" stopIfTrue="1">
      <formula>"Medium"</formula>
    </cfRule>
    <cfRule type="cellIs" priority="3" dxfId="0" operator="equal" stopIfTrue="1">
      <formula>"High"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1">
      <selection activeCell="I19" sqref="I19:AD42"/>
    </sheetView>
  </sheetViews>
  <sheetFormatPr defaultColWidth="14.83203125" defaultRowHeight="12.75"/>
  <cols>
    <col min="1" max="2" width="14.83203125" style="192" customWidth="1"/>
    <col min="3" max="7" width="18.33203125" style="193" customWidth="1"/>
    <col min="8" max="8" width="18.33203125" style="192" customWidth="1"/>
    <col min="9" max="16384" width="14.83203125" style="192" customWidth="1"/>
  </cols>
  <sheetData>
    <row r="2" ht="11.25">
      <c r="A2" s="191" t="s">
        <v>447</v>
      </c>
    </row>
    <row r="4" spans="1:8" ht="11.25">
      <c r="A4" s="173" t="s">
        <v>165</v>
      </c>
      <c r="B4" s="173" t="s">
        <v>307</v>
      </c>
      <c r="C4" s="194" t="s">
        <v>316</v>
      </c>
      <c r="D4" s="194" t="s">
        <v>317</v>
      </c>
      <c r="E4" s="194" t="s">
        <v>41</v>
      </c>
      <c r="F4" s="194" t="s">
        <v>318</v>
      </c>
      <c r="G4" s="194" t="s">
        <v>319</v>
      </c>
      <c r="H4" s="173" t="s">
        <v>320</v>
      </c>
    </row>
    <row r="5" spans="1:8" ht="11.25">
      <c r="A5" s="175" t="s">
        <v>265</v>
      </c>
      <c r="B5" s="175">
        <v>0</v>
      </c>
      <c r="C5" s="180">
        <f>_xlfn.SUMIFS('Capital Data'!$M$7:$M$976,'Capital Data'!$A$7:$A$976,A5,'Capital Data'!$I$7:$I$976,"Y",'Capital Data'!$H$7:$H$976,"Yes")</f>
        <v>42968810</v>
      </c>
      <c r="D5" s="195">
        <f>_xlfn.SUMIFS('Capital Data'!$N$7:$N$976,'Capital Data'!$A$7:$A$976,A5,'Capital Data'!$I$7:$I$976,"Y",'Capital Data'!$H$7:$H$976,"Yes")</f>
        <v>2000000</v>
      </c>
      <c r="E5" s="195">
        <f>_xlfn.SUMIFS('Capital Data'!$P$7:$P$976,'Capital Data'!$A$7:$A$976,$A5,'Capital Data'!$I$7:$I$976,"Y",'Capital Data'!$H$7:$H$976,"Yes")</f>
        <v>600000</v>
      </c>
      <c r="F5" s="195">
        <f>_xlfn.SUMIFS('Capital Data'!$Q$7:$Q$976,'Capital Data'!$A$7:$A$976,$A5,'Capital Data'!$I$7:$I$976,"Y",'Capital Data'!$H$7:$H$976,"Yes")</f>
        <v>11897600</v>
      </c>
      <c r="G5" s="195">
        <f>_xlfn.SUMIFS('Capital Data'!$R$7:$R$976,'Capital Data'!$A$7:$A$976,$A5,'Capital Data'!$I$7:$I$976,"Y",'Capital Data'!$H$7:$H$976,"Yes")</f>
        <v>375000</v>
      </c>
      <c r="H5" s="181">
        <f>C5-D5-E5-F5-G5</f>
        <v>28096210</v>
      </c>
    </row>
    <row r="6" spans="1:8" ht="11.25">
      <c r="A6" s="175" t="s">
        <v>267</v>
      </c>
      <c r="B6" s="175">
        <v>1</v>
      </c>
      <c r="C6" s="180">
        <f>_xlfn.SUMIFS('Capital Data'!$M$7:$M$976,'Capital Data'!$A$7:$A$976,A6,'Capital Data'!$I$7:$I$976,"Y",'Capital Data'!$H$7:$H$976,"Yes")</f>
        <v>44774293.92</v>
      </c>
      <c r="D6" s="195">
        <f>_xlfn.SUMIFS('Capital Data'!$N$7:$N$976,'Capital Data'!$A$7:$A$976,A6,'Capital Data'!$I$7:$I$976,"Y",'Capital Data'!$H$7:$H$976,"Yes")</f>
        <v>2000000</v>
      </c>
      <c r="E6" s="195">
        <f>_xlfn.SUMIFS('Capital Data'!$P$7:$P$976,'Capital Data'!$A$7:$A$976,$A6,'Capital Data'!$I$7:$I$976,"Y",'Capital Data'!$H$7:$H$976,"Yes")</f>
        <v>625406.3999999999</v>
      </c>
      <c r="F6" s="195">
        <f>_xlfn.SUMIFS('Capital Data'!$Q$7:$Q$976,'Capital Data'!$A$7:$A$976,$A6,'Capital Data'!$I$7:$I$976,"Y",'Capital Data'!$H$7:$H$976,"Yes")</f>
        <v>12373504</v>
      </c>
      <c r="G6" s="195">
        <f>_xlfn.SUMIFS('Capital Data'!$R$7:$R$976,'Capital Data'!$A$7:$A$976,$A6,'Capital Data'!$I$7:$I$976,"Y",'Capital Data'!$H$7:$H$976,"Yes")</f>
        <v>384374.99999999994</v>
      </c>
      <c r="H6" s="181">
        <f aca="true" t="shared" si="0" ref="H6:H25">C6-D6-E6-F6-G6</f>
        <v>29391008.520000003</v>
      </c>
    </row>
    <row r="7" spans="1:8" ht="11.25">
      <c r="A7" s="175" t="s">
        <v>268</v>
      </c>
      <c r="B7" s="175">
        <v>2</v>
      </c>
      <c r="C7" s="180">
        <f>_xlfn.SUMIFS('Capital Data'!$M$7:$M$976,'Capital Data'!$A$7:$A$976,A7,'Capital Data'!$I$7:$I$976,"Y",'Capital Data'!$H$7:$H$976,"Yes")</f>
        <v>46365089.4528</v>
      </c>
      <c r="D7" s="195">
        <f>_xlfn.SUMIFS('Capital Data'!$N$7:$N$976,'Capital Data'!$A$7:$A$976,A7,'Capital Data'!$I$7:$I$976,"Y",'Capital Data'!$H$7:$H$976,"Yes")</f>
        <v>2049999.9999999998</v>
      </c>
      <c r="E7" s="195">
        <f>_xlfn.SUMIFS('Capital Data'!$P$7:$P$976,'Capital Data'!$A$7:$A$976,$A7,'Capital Data'!$I$7:$I$976,"Y",'Capital Data'!$H$7:$H$976,"Yes")</f>
        <v>641041.5599999999</v>
      </c>
      <c r="F7" s="195">
        <f>_xlfn.SUMIFS('Capital Data'!$Q$7:$Q$976,'Capital Data'!$A$7:$A$976,$A7,'Capital Data'!$I$7:$I$976,"Y",'Capital Data'!$H$7:$H$976,"Yes")</f>
        <v>12868444.16</v>
      </c>
      <c r="G7" s="195">
        <f>_xlfn.SUMIFS('Capital Data'!$R$7:$R$976,'Capital Data'!$A$7:$A$976,$A7,'Capital Data'!$I$7:$I$976,"Y",'Capital Data'!$H$7:$H$976,"Yes")</f>
        <v>393984.3749999999</v>
      </c>
      <c r="H7" s="181">
        <f t="shared" si="0"/>
        <v>30411619.357799996</v>
      </c>
    </row>
    <row r="8" spans="1:8" ht="11.25">
      <c r="A8" s="175" t="s">
        <v>269</v>
      </c>
      <c r="B8" s="175">
        <v>3</v>
      </c>
      <c r="C8" s="180">
        <f>_xlfn.SUMIFS('Capital Data'!$M$7:$M$976,'Capital Data'!$A$7:$A$976,A8,'Capital Data'!$I$7:$I$976,"Y",'Capital Data'!$H$7:$H$976,"Yes")</f>
        <v>48014512.401312</v>
      </c>
      <c r="D8" s="195">
        <f>_xlfn.SUMIFS('Capital Data'!$N$7:$N$976,'Capital Data'!$A$7:$A$976,A8,'Capital Data'!$I$7:$I$976,"Y",'Capital Data'!$H$7:$H$976,"Yes")</f>
        <v>2101249.9999999995</v>
      </c>
      <c r="E8" s="195">
        <f>_xlfn.SUMIFS('Capital Data'!$P$7:$P$976,'Capital Data'!$A$7:$A$976,$A8,'Capital Data'!$I$7:$I$976,"Y",'Capital Data'!$H$7:$H$976,"Yes")</f>
        <v>657067.5989999999</v>
      </c>
      <c r="F8" s="195">
        <f>_xlfn.SUMIFS('Capital Data'!$Q$7:$Q$976,'Capital Data'!$A$7:$A$976,$A8,'Capital Data'!$I$7:$I$976,"Y",'Capital Data'!$H$7:$H$976,"Yes")</f>
        <v>13383181.9264</v>
      </c>
      <c r="G8" s="195">
        <f>_xlfn.SUMIFS('Capital Data'!$R$7:$R$976,'Capital Data'!$A$7:$A$976,$A8,'Capital Data'!$I$7:$I$976,"Y",'Capital Data'!$H$7:$H$976,"Yes")</f>
        <v>403833.9843749998</v>
      </c>
      <c r="H8" s="181">
        <f t="shared" si="0"/>
        <v>31469178.891537003</v>
      </c>
    </row>
    <row r="9" spans="1:8" ht="11.25">
      <c r="A9" s="175" t="s">
        <v>270</v>
      </c>
      <c r="B9" s="175">
        <v>4</v>
      </c>
      <c r="C9" s="180">
        <f>_xlfn.SUMIFS('Capital Data'!$M$7:$M$976,'Capital Data'!$A$7:$A$976,A9,'Capital Data'!$I$7:$I$976,"Y",'Capital Data'!$H$7:$H$976,"Yes")</f>
        <v>49724782.75202448</v>
      </c>
      <c r="D9" s="195">
        <f>_xlfn.SUMIFS('Capital Data'!$N$7:$N$976,'Capital Data'!$A$7:$A$976,A9,'Capital Data'!$I$7:$I$976,"Y",'Capital Data'!$H$7:$H$976,"Yes")</f>
        <v>2153781.2499999995</v>
      </c>
      <c r="E9" s="195">
        <f>_xlfn.SUMIFS('Capital Data'!$P$7:$P$976,'Capital Data'!$A$7:$A$976,$A9,'Capital Data'!$I$7:$I$976,"Y",'Capital Data'!$H$7:$H$976,"Yes")</f>
        <v>673494.2889749998</v>
      </c>
      <c r="F9" s="195">
        <f>_xlfn.SUMIFS('Capital Data'!$Q$7:$Q$976,'Capital Data'!$A$7:$A$976,$A9,'Capital Data'!$I$7:$I$976,"Y",'Capital Data'!$H$7:$H$976,"Yes")</f>
        <v>13918509.203456001</v>
      </c>
      <c r="G9" s="195">
        <f>_xlfn.SUMIFS('Capital Data'!$R$7:$R$976,'Capital Data'!$A$7:$A$976,$A9,'Capital Data'!$I$7:$I$976,"Y",'Capital Data'!$H$7:$H$976,"Yes")</f>
        <v>413929.83398437477</v>
      </c>
      <c r="H9" s="181">
        <f t="shared" si="0"/>
        <v>32565068.175609104</v>
      </c>
    </row>
    <row r="10" spans="1:8" ht="11.25">
      <c r="A10" s="175" t="s">
        <v>271</v>
      </c>
      <c r="B10" s="175">
        <v>5</v>
      </c>
      <c r="C10" s="180">
        <f>_xlfn.SUMIFS('Capital Data'!$M$7:$M$976,'Capital Data'!$A$7:$A$976,A10,'Capital Data'!$I$7:$I$976,"Y",'Capital Data'!$H$7:$H$976,"Yes")</f>
        <v>51498206.16313197</v>
      </c>
      <c r="D10" s="195">
        <f>_xlfn.SUMIFS('Capital Data'!$N$7:$N$976,'Capital Data'!$A$7:$A$976,A10,'Capital Data'!$I$7:$I$976,"Y",'Capital Data'!$H$7:$H$976,"Yes")</f>
        <v>2207625.7812499995</v>
      </c>
      <c r="E10" s="195">
        <f>_xlfn.SUMIFS('Capital Data'!$P$7:$P$976,'Capital Data'!$A$7:$A$976,$A10,'Capital Data'!$I$7:$I$976,"Y",'Capital Data'!$H$7:$H$976,"Yes")</f>
        <v>690331.6461993747</v>
      </c>
      <c r="F10" s="195">
        <f>_xlfn.SUMIFS('Capital Data'!$Q$7:$Q$976,'Capital Data'!$A$7:$A$976,$A10,'Capital Data'!$I$7:$I$976,"Y",'Capital Data'!$H$7:$H$976,"Yes")</f>
        <v>14475249.571594242</v>
      </c>
      <c r="G10" s="195">
        <f>_xlfn.SUMIFS('Capital Data'!$R$7:$R$976,'Capital Data'!$A$7:$A$976,$A10,'Capital Data'!$I$7:$I$976,"Y",'Capital Data'!$H$7:$H$976,"Yes")</f>
        <v>424278.0798339841</v>
      </c>
      <c r="H10" s="181">
        <f t="shared" si="0"/>
        <v>33700721.08425437</v>
      </c>
    </row>
    <row r="11" spans="1:8" ht="11.25">
      <c r="A11" s="175" t="s">
        <v>272</v>
      </c>
      <c r="B11" s="175">
        <v>6</v>
      </c>
      <c r="C11" s="180">
        <f>_xlfn.SUMIFS('Capital Data'!$M$7:$M$976,'Capital Data'!$A$7:$A$976,A11,'Capital Data'!$I$7:$I$976,"Y",'Capital Data'!$H$7:$H$976,"Yes")</f>
        <v>53337177.31320941</v>
      </c>
      <c r="D11" s="195">
        <f>_xlfn.SUMIFS('Capital Data'!$N$7:$N$976,'Capital Data'!$A$7:$A$976,A11,'Capital Data'!$I$7:$I$976,"Y",'Capital Data'!$H$7:$H$976,"Yes")</f>
        <v>2262816.4257812495</v>
      </c>
      <c r="E11" s="195">
        <f>_xlfn.SUMIFS('Capital Data'!$P$7:$P$976,'Capital Data'!$A$7:$A$976,$A11,'Capital Data'!$I$7:$I$976,"Y",'Capital Data'!$H$7:$H$976,"Yes")</f>
        <v>707589.9373543591</v>
      </c>
      <c r="F11" s="195">
        <f>_xlfn.SUMIFS('Capital Data'!$Q$7:$Q$976,'Capital Data'!$A$7:$A$976,$A11,'Capital Data'!$I$7:$I$976,"Y",'Capital Data'!$H$7:$H$976,"Yes")</f>
        <v>15054259.554458013</v>
      </c>
      <c r="G11" s="195">
        <f>_xlfn.SUMIFS('Capital Data'!$R$7:$R$976,'Capital Data'!$A$7:$A$976,$A11,'Capital Data'!$I$7:$I$976,"Y",'Capital Data'!$H$7:$H$976,"Yes")</f>
        <v>434885.03182983364</v>
      </c>
      <c r="H11" s="181">
        <f t="shared" si="0"/>
        <v>34877626.36378595</v>
      </c>
    </row>
    <row r="12" spans="1:8" ht="11.25">
      <c r="A12" s="175" t="s">
        <v>273</v>
      </c>
      <c r="B12" s="175">
        <v>7</v>
      </c>
      <c r="C12" s="180">
        <f>_xlfn.SUMIFS('Capital Data'!$M$7:$M$976,'Capital Data'!$A$7:$A$976,A12,'Capital Data'!$I$7:$I$976,"Y",'Capital Data'!$H$7:$H$976,"Yes")</f>
        <v>55244183.38187875</v>
      </c>
      <c r="D12" s="195">
        <f>_xlfn.SUMIFS('Capital Data'!$N$7:$N$976,'Capital Data'!$A$7:$A$976,A12,'Capital Data'!$I$7:$I$976,"Y",'Capital Data'!$H$7:$H$976,"Yes")</f>
        <v>2319386.836425781</v>
      </c>
      <c r="E12" s="195">
        <f>_xlfn.SUMIFS('Capital Data'!$P$7:$P$976,'Capital Data'!$A$7:$A$976,$A12,'Capital Data'!$I$7:$I$976,"Y",'Capital Data'!$H$7:$H$976,"Yes")</f>
        <v>725279.6857882179</v>
      </c>
      <c r="F12" s="195">
        <f>_xlfn.SUMIFS('Capital Data'!$Q$7:$Q$976,'Capital Data'!$A$7:$A$976,$A12,'Capital Data'!$I$7:$I$976,"Y",'Capital Data'!$H$7:$H$976,"Yes")</f>
        <v>15656429.936636334</v>
      </c>
      <c r="G12" s="195">
        <f>_xlfn.SUMIFS('Capital Data'!$R$7:$R$976,'Capital Data'!$A$7:$A$976,$A12,'Capital Data'!$I$7:$I$976,"Y",'Capital Data'!$H$7:$H$976,"Yes")</f>
        <v>445757.15762557945</v>
      </c>
      <c r="H12" s="181">
        <f t="shared" si="0"/>
        <v>36097329.76540284</v>
      </c>
    </row>
    <row r="13" spans="1:8" ht="11.25">
      <c r="A13" s="175" t="s">
        <v>274</v>
      </c>
      <c r="B13" s="175">
        <v>8</v>
      </c>
      <c r="C13" s="180">
        <f>_xlfn.SUMIFS('Capital Data'!$M$7:$M$976,'Capital Data'!$A$7:$A$976,A13,'Capital Data'!$I$7:$I$976,"Y",'Capital Data'!$H$7:$H$976,"Yes")</f>
        <v>57221807.6676984</v>
      </c>
      <c r="D13" s="195">
        <f>_xlfn.SUMIFS('Capital Data'!$N$7:$N$976,'Capital Data'!$A$7:$A$976,A13,'Capital Data'!$I$7:$I$976,"Y",'Capital Data'!$H$7:$H$976,"Yes")</f>
        <v>2377371.507336425</v>
      </c>
      <c r="E13" s="195">
        <f>_xlfn.SUMIFS('Capital Data'!$P$7:$P$976,'Capital Data'!$A$7:$A$976,$A13,'Capital Data'!$I$7:$I$976,"Y",'Capital Data'!$H$7:$H$976,"Yes")</f>
        <v>743411.6779329234</v>
      </c>
      <c r="F13" s="195">
        <f>_xlfn.SUMIFS('Capital Data'!$Q$7:$Q$976,'Capital Data'!$A$7:$A$976,$A13,'Capital Data'!$I$7:$I$976,"Y",'Capital Data'!$H$7:$H$976,"Yes")</f>
        <v>16282687.134101788</v>
      </c>
      <c r="G13" s="195">
        <f>_xlfn.SUMIFS('Capital Data'!$R$7:$R$976,'Capital Data'!$A$7:$A$976,$A13,'Capital Data'!$I$7:$I$976,"Y",'Capital Data'!$H$7:$H$976,"Yes")</f>
        <v>456901.0865662189</v>
      </c>
      <c r="H13" s="181">
        <f t="shared" si="0"/>
        <v>37361436.26176105</v>
      </c>
    </row>
    <row r="14" spans="1:8" ht="11.25">
      <c r="A14" s="175" t="s">
        <v>275</v>
      </c>
      <c r="B14" s="175">
        <v>9</v>
      </c>
      <c r="C14" s="180">
        <f>_xlfn.SUMIFS('Capital Data'!$M$7:$M$976,'Capital Data'!$A$7:$A$976,A14,'Capital Data'!$I$7:$I$976,"Y",'Capital Data'!$H$7:$H$976,"Yes")</f>
        <v>59272733.34871444</v>
      </c>
      <c r="D14" s="195">
        <f>_xlfn.SUMIFS('Capital Data'!$N$7:$N$976,'Capital Data'!$A$7:$A$976,A14,'Capital Data'!$I$7:$I$976,"Y",'Capital Data'!$H$7:$H$976,"Yes")</f>
        <v>2436805.7950198357</v>
      </c>
      <c r="E14" s="195">
        <f>_xlfn.SUMIFS('Capital Data'!$P$7:$P$976,'Capital Data'!$A$7:$A$976,$A14,'Capital Data'!$I$7:$I$976,"Y",'Capital Data'!$H$7:$H$976,"Yes")</f>
        <v>761996.9698812463</v>
      </c>
      <c r="F14" s="195">
        <f>_xlfn.SUMIFS('Capital Data'!$Q$7:$Q$976,'Capital Data'!$A$7:$A$976,$A14,'Capital Data'!$I$7:$I$976,"Y",'Capital Data'!$H$7:$H$976,"Yes")</f>
        <v>16933994.61946586</v>
      </c>
      <c r="G14" s="195">
        <f>_xlfn.SUMIFS('Capital Data'!$R$7:$R$976,'Capital Data'!$A$7:$A$976,$A14,'Capital Data'!$I$7:$I$976,"Y",'Capital Data'!$H$7:$H$976,"Yes")</f>
        <v>468323.6137303743</v>
      </c>
      <c r="H14" s="181">
        <f t="shared" si="0"/>
        <v>38671612.350617126</v>
      </c>
    </row>
    <row r="15" spans="1:8" ht="11.25">
      <c r="A15" s="175" t="s">
        <v>276</v>
      </c>
      <c r="B15" s="175">
        <v>10</v>
      </c>
      <c r="C15" s="180">
        <f>_xlfn.SUMIFS('Capital Data'!$M$7:$M$976,'Capital Data'!$A$7:$A$976,A15,'Capital Data'!$I$7:$I$976,"Y",'Capital Data'!$H$7:$H$976,"Yes")</f>
        <v>61399747.39132881</v>
      </c>
      <c r="D15" s="195">
        <f>_xlfn.SUMIFS('Capital Data'!$N$7:$N$976,'Capital Data'!$A$7:$A$976,A15,'Capital Data'!$I$7:$I$976,"Y",'Capital Data'!$H$7:$H$976,"Yes")</f>
        <v>2497725.9398953314</v>
      </c>
      <c r="E15" s="195">
        <f>_xlfn.SUMIFS('Capital Data'!$P$7:$P$976,'Capital Data'!$A$7:$A$976,$A15,'Capital Data'!$I$7:$I$976,"Y",'Capital Data'!$H$7:$H$976,"Yes")</f>
        <v>781046.8941282774</v>
      </c>
      <c r="F15" s="195">
        <f>_xlfn.SUMIFS('Capital Data'!$Q$7:$Q$976,'Capital Data'!$A$7:$A$976,$A15,'Capital Data'!$I$7:$I$976,"Y",'Capital Data'!$H$7:$H$976,"Yes")</f>
        <v>17611354.404244497</v>
      </c>
      <c r="G15" s="195">
        <f>_xlfn.SUMIFS('Capital Data'!$R$7:$R$976,'Capital Data'!$A$7:$A$976,$A15,'Capital Data'!$I$7:$I$976,"Y",'Capital Data'!$H$7:$H$976,"Yes")</f>
        <v>480031.70407363365</v>
      </c>
      <c r="H15" s="181">
        <f t="shared" si="0"/>
        <v>40029588.448987074</v>
      </c>
    </row>
    <row r="16" spans="1:8" ht="11.25">
      <c r="A16" s="175" t="s">
        <v>277</v>
      </c>
      <c r="B16" s="175">
        <v>11</v>
      </c>
      <c r="C16" s="180">
        <f>_xlfn.SUMIFS('Capital Data'!$M$7:$M$976,'Capital Data'!$A$7:$A$976,A16,'Capital Data'!$I$7:$I$976,"Y",'Capital Data'!$H$7:$H$976,"Yes")</f>
        <v>63605744.61336441</v>
      </c>
      <c r="D16" s="195">
        <f>_xlfn.SUMIFS('Capital Data'!$N$7:$N$976,'Capital Data'!$A$7:$A$976,A16,'Capital Data'!$I$7:$I$976,"Y",'Capital Data'!$H$7:$H$976,"Yes")</f>
        <v>2560169.0883927145</v>
      </c>
      <c r="E16" s="195">
        <f>_xlfn.SUMIFS('Capital Data'!$P$7:$P$976,'Capital Data'!$A$7:$A$976,$A16,'Capital Data'!$I$7:$I$976,"Y",'Capital Data'!$H$7:$H$976,"Yes")</f>
        <v>800573.0664814843</v>
      </c>
      <c r="F16" s="195">
        <f>_xlfn.SUMIFS('Capital Data'!$Q$7:$Q$976,'Capital Data'!$A$7:$A$976,$A16,'Capital Data'!$I$7:$I$976,"Y",'Capital Data'!$H$7:$H$976,"Yes")</f>
        <v>18315808.580414277</v>
      </c>
      <c r="G16" s="195">
        <f>_xlfn.SUMIFS('Capital Data'!$R$7:$R$976,'Capital Data'!$A$7:$A$976,$A16,'Capital Data'!$I$7:$I$976,"Y",'Capital Data'!$H$7:$H$976,"Yes")</f>
        <v>492032.49667547445</v>
      </c>
      <c r="H16" s="181">
        <f t="shared" si="0"/>
        <v>41437161.381400466</v>
      </c>
    </row>
    <row r="17" spans="1:8" ht="11.25">
      <c r="A17" s="175" t="s">
        <v>278</v>
      </c>
      <c r="B17" s="175">
        <v>12</v>
      </c>
      <c r="C17" s="180">
        <f>_xlfn.SUMIFS('Capital Data'!$M$7:$M$976,'Capital Data'!$A$7:$A$976,A17,'Capital Data'!$I$7:$I$976,"Y",'Capital Data'!$H$7:$H$976,"Yes")</f>
        <v>65893731.907441</v>
      </c>
      <c r="D17" s="195">
        <f>_xlfn.SUMIFS('Capital Data'!$N$7:$N$976,'Capital Data'!$A$7:$A$976,A17,'Capital Data'!$I$7:$I$976,"Y",'Capital Data'!$H$7:$H$976,"Yes")</f>
        <v>2624173.315602532</v>
      </c>
      <c r="E17" s="195">
        <f>_xlfn.SUMIFS('Capital Data'!$P$7:$P$976,'Capital Data'!$A$7:$A$976,$A17,'Capital Data'!$I$7:$I$976,"Y",'Capital Data'!$H$7:$H$976,"Yes")</f>
        <v>820587.3931435214</v>
      </c>
      <c r="F17" s="195">
        <f>_xlfn.SUMIFS('Capital Data'!$Q$7:$Q$976,'Capital Data'!$A$7:$A$976,$A17,'Capital Data'!$I$7:$I$976,"Y",'Capital Data'!$H$7:$H$976,"Yes")</f>
        <v>19048440.92363085</v>
      </c>
      <c r="G17" s="195">
        <f>_xlfn.SUMIFS('Capital Data'!$R$7:$R$976,'Capital Data'!$A$7:$A$976,$A17,'Capital Data'!$I$7:$I$976,"Y",'Capital Data'!$H$7:$H$976,"Yes")</f>
        <v>504333.30909236125</v>
      </c>
      <c r="H17" s="181">
        <f t="shared" si="0"/>
        <v>42896196.96597174</v>
      </c>
    </row>
    <row r="18" spans="1:8" ht="11.25">
      <c r="A18" s="175" t="s">
        <v>279</v>
      </c>
      <c r="B18" s="175">
        <v>13</v>
      </c>
      <c r="C18" s="180">
        <f>_xlfn.SUMIFS('Capital Data'!$M$7:$M$976,'Capital Data'!$A$7:$A$976,A18,'Capital Data'!$I$7:$I$976,"Y",'Capital Data'!$H$7:$H$976,"Yes")</f>
        <v>68266832.6310192</v>
      </c>
      <c r="D18" s="195">
        <f>_xlfn.SUMIFS('Capital Data'!$N$7:$N$976,'Capital Data'!$A$7:$A$976,A18,'Capital Data'!$I$7:$I$976,"Y",'Capital Data'!$H$7:$H$976,"Yes")</f>
        <v>2689777.648492595</v>
      </c>
      <c r="E18" s="195">
        <f>_xlfn.SUMIFS('Capital Data'!$P$7:$P$976,'Capital Data'!$A$7:$A$976,$A18,'Capital Data'!$I$7:$I$976,"Y",'Capital Data'!$H$7:$H$976,"Yes")</f>
        <v>841102.0779721094</v>
      </c>
      <c r="F18" s="195">
        <f>_xlfn.SUMIFS('Capital Data'!$Q$7:$Q$976,'Capital Data'!$A$7:$A$976,$A18,'Capital Data'!$I$7:$I$976,"Y",'Capital Data'!$H$7:$H$976,"Yes")</f>
        <v>19810378.560576085</v>
      </c>
      <c r="G18" s="195">
        <f>_xlfn.SUMIFS('Capital Data'!$R$7:$R$976,'Capital Data'!$A$7:$A$976,$A18,'Capital Data'!$I$7:$I$976,"Y",'Capital Data'!$H$7:$H$976,"Yes")</f>
        <v>516941.6418196702</v>
      </c>
      <c r="H18" s="181">
        <f t="shared" si="0"/>
        <v>44408632.70215875</v>
      </c>
    </row>
    <row r="19" spans="1:8" ht="11.25">
      <c r="A19" s="175" t="s">
        <v>280</v>
      </c>
      <c r="B19" s="175">
        <v>14</v>
      </c>
      <c r="C19" s="180">
        <f>_xlfn.SUMIFS('Capital Data'!$M$7:$M$976,'Capital Data'!$A$7:$A$976,A19,'Capital Data'!$I$7:$I$976,"Y",'Capital Data'!$H$7:$H$976,"Yes")</f>
        <v>70728291.16972256</v>
      </c>
      <c r="D19" s="195">
        <f>_xlfn.SUMIFS('Capital Data'!$N$7:$N$976,'Capital Data'!$A$7:$A$976,A19,'Capital Data'!$I$7:$I$976,"Y",'Capital Data'!$H$7:$H$976,"Yes")</f>
        <v>2757022.08970491</v>
      </c>
      <c r="E19" s="195">
        <f>_xlfn.SUMIFS('Capital Data'!$P$7:$P$976,'Capital Data'!$A$7:$A$976,$A19,'Capital Data'!$I$7:$I$976,"Y",'Capital Data'!$H$7:$H$976,"Yes")</f>
        <v>862129.629921412</v>
      </c>
      <c r="F19" s="195">
        <f>_xlfn.SUMIFS('Capital Data'!$Q$7:$Q$976,'Capital Data'!$A$7:$A$976,$A19,'Capital Data'!$I$7:$I$976,"Y",'Capital Data'!$H$7:$H$976,"Yes")</f>
        <v>20602793.70299913</v>
      </c>
      <c r="G19" s="195">
        <f>_xlfn.SUMIFS('Capital Data'!$R$7:$R$976,'Capital Data'!$A$7:$A$976,$A19,'Capital Data'!$I$7:$I$976,"Y",'Capital Data'!$H$7:$H$976,"Yes")</f>
        <v>529865.1828651619</v>
      </c>
      <c r="H19" s="181">
        <f t="shared" si="0"/>
        <v>45976480.56423194</v>
      </c>
    </row>
    <row r="20" spans="1:8" ht="11.25">
      <c r="A20" s="175" t="s">
        <v>281</v>
      </c>
      <c r="B20" s="175">
        <v>15</v>
      </c>
      <c r="C20" s="180">
        <f>_xlfn.SUMIFS('Capital Data'!$M$7:$M$976,'Capital Data'!$A$7:$A$976,A20,'Capital Data'!$I$7:$I$976,"Y",'Capital Data'!$H$7:$H$976,"Yes")</f>
        <v>73281477.6808106</v>
      </c>
      <c r="D20" s="195">
        <f>_xlfn.SUMIFS('Capital Data'!$N$7:$N$976,'Capital Data'!$A$7:$A$976,A20,'Capital Data'!$I$7:$I$976,"Y",'Capital Data'!$H$7:$H$976,"Yes")</f>
        <v>2825947.6419475325</v>
      </c>
      <c r="E20" s="195">
        <f>_xlfn.SUMIFS('Capital Data'!$P$7:$P$976,'Capital Data'!$A$7:$A$976,$A20,'Capital Data'!$I$7:$I$976,"Y",'Capital Data'!$H$7:$H$976,"Yes")</f>
        <v>883682.8706694472</v>
      </c>
      <c r="F20" s="195">
        <f>_xlfn.SUMIFS('Capital Data'!$Q$7:$Q$976,'Capital Data'!$A$7:$A$976,$A20,'Capital Data'!$I$7:$I$976,"Y",'Capital Data'!$H$7:$H$976,"Yes")</f>
        <v>21426905.451119095</v>
      </c>
      <c r="G20" s="195">
        <f>_xlfn.SUMIFS('Capital Data'!$R$7:$R$976,'Capital Data'!$A$7:$A$976,$A20,'Capital Data'!$I$7:$I$976,"Y",'Capital Data'!$H$7:$H$976,"Yes")</f>
        <v>543111.8124367909</v>
      </c>
      <c r="H20" s="181">
        <f t="shared" si="0"/>
        <v>47601829.904637724</v>
      </c>
    </row>
    <row r="21" spans="1:8" ht="11.25">
      <c r="A21" s="175" t="s">
        <v>282</v>
      </c>
      <c r="B21" s="175">
        <v>16</v>
      </c>
      <c r="C21" s="180">
        <f>_xlfn.SUMIFS('Capital Data'!$M$7:$M$976,'Capital Data'!$A$7:$A$976,A21,'Capital Data'!$I$7:$I$976,"Y",'Capital Data'!$H$7:$H$976,"Yes")</f>
        <v>75929893.02394965</v>
      </c>
      <c r="D21" s="195">
        <f>_xlfn.SUMIFS('Capital Data'!$N$7:$N$976,'Capital Data'!$A$7:$A$976,A21,'Capital Data'!$I$7:$I$976,"Y",'Capital Data'!$H$7:$H$976,"Yes")</f>
        <v>2896596.332996221</v>
      </c>
      <c r="E21" s="195">
        <f>_xlfn.SUMIFS('Capital Data'!$P$7:$P$976,'Capital Data'!$A$7:$A$976,$A21,'Capital Data'!$I$7:$I$976,"Y",'Capital Data'!$H$7:$H$976,"Yes")</f>
        <v>905774.9424361833</v>
      </c>
      <c r="F21" s="195">
        <f>_xlfn.SUMIFS('Capital Data'!$Q$7:$Q$976,'Capital Data'!$A$7:$A$976,$A21,'Capital Data'!$I$7:$I$976,"Y",'Capital Data'!$H$7:$H$976,"Yes")</f>
        <v>22283981.66916386</v>
      </c>
      <c r="G21" s="195">
        <f>_xlfn.SUMIFS('Capital Data'!$R$7:$R$976,'Capital Data'!$A$7:$A$976,$A21,'Capital Data'!$I$7:$I$976,"Y",'Capital Data'!$H$7:$H$976,"Yes")</f>
        <v>556689.6077477107</v>
      </c>
      <c r="H21" s="181">
        <f t="shared" si="0"/>
        <v>49286850.47160567</v>
      </c>
    </row>
    <row r="22" spans="1:8" ht="11.25">
      <c r="A22" s="175" t="s">
        <v>283</v>
      </c>
      <c r="B22" s="175">
        <v>17</v>
      </c>
      <c r="C22" s="180">
        <f>_xlfn.SUMIFS('Capital Data'!$M$7:$M$976,'Capital Data'!$A$7:$A$976,A22,'Capital Data'!$I$7:$I$976,"Y",'Capital Data'!$H$7:$H$976,"Yes")</f>
        <v>78677173.88671191</v>
      </c>
      <c r="D22" s="195">
        <f>_xlfn.SUMIFS('Capital Data'!$N$7:$N$976,'Capital Data'!$A$7:$A$976,A22,'Capital Data'!$I$7:$I$976,"Y",'Capital Data'!$H$7:$H$976,"Yes")</f>
        <v>2969011.241321126</v>
      </c>
      <c r="E22" s="195">
        <f>_xlfn.SUMIFS('Capital Data'!$P$7:$P$976,'Capital Data'!$A$7:$A$976,$A22,'Capital Data'!$I$7:$I$976,"Y",'Capital Data'!$H$7:$H$976,"Yes")</f>
        <v>928419.3159970879</v>
      </c>
      <c r="F22" s="195">
        <f>_xlfn.SUMIFS('Capital Data'!$Q$7:$Q$976,'Capital Data'!$A$7:$A$976,$A22,'Capital Data'!$I$7:$I$976,"Y",'Capital Data'!$H$7:$H$976,"Yes")</f>
        <v>23175340.935930416</v>
      </c>
      <c r="G22" s="195">
        <f>_xlfn.SUMIFS('Capital Data'!$R$7:$R$976,'Capital Data'!$A$7:$A$976,$A22,'Capital Data'!$I$7:$I$976,"Y",'Capital Data'!$H$7:$H$976,"Yes")</f>
        <v>570606.8479414034</v>
      </c>
      <c r="H22" s="181">
        <f t="shared" si="0"/>
        <v>51033795.54552186</v>
      </c>
    </row>
    <row r="23" spans="1:8" ht="11.25">
      <c r="A23" s="175" t="s">
        <v>284</v>
      </c>
      <c r="B23" s="175">
        <v>18</v>
      </c>
      <c r="C23" s="180">
        <f>_xlfn.SUMIFS('Capital Data'!$M$7:$M$976,'Capital Data'!$A$7:$A$976,A23,'Capital Data'!$I$7:$I$976,"Y",'Capital Data'!$H$7:$H$976,"Yes")</f>
        <v>81527098.11252978</v>
      </c>
      <c r="D23" s="195">
        <f>_xlfn.SUMIFS('Capital Data'!$N$7:$N$976,'Capital Data'!$A$7:$A$976,A23,'Capital Data'!$I$7:$I$976,"Y",'Capital Data'!$H$7:$H$976,"Yes")</f>
        <v>3043236.522354154</v>
      </c>
      <c r="E23" s="195">
        <f>_xlfn.SUMIFS('Capital Data'!$P$7:$P$976,'Capital Data'!$A$7:$A$976,$A23,'Capital Data'!$I$7:$I$976,"Y",'Capital Data'!$H$7:$H$976,"Yes")</f>
        <v>951629.7988970149</v>
      </c>
      <c r="F23" s="195">
        <f>_xlfn.SUMIFS('Capital Data'!$Q$7:$Q$976,'Capital Data'!$A$7:$A$976,$A23,'Capital Data'!$I$7:$I$976,"Y",'Capital Data'!$H$7:$H$976,"Yes")</f>
        <v>24102354.573367633</v>
      </c>
      <c r="G23" s="195">
        <f>_xlfn.SUMIFS('Capital Data'!$R$7:$R$976,'Capital Data'!$A$7:$A$976,$A23,'Capital Data'!$I$7:$I$976,"Y",'Capital Data'!$H$7:$H$976,"Yes")</f>
        <v>584872.0191399384</v>
      </c>
      <c r="H23" s="181">
        <f t="shared" si="0"/>
        <v>52845005.198771045</v>
      </c>
    </row>
    <row r="24" spans="1:8" ht="11.25">
      <c r="A24" s="175" t="s">
        <v>285</v>
      </c>
      <c r="B24" s="175">
        <v>19</v>
      </c>
      <c r="C24" s="180">
        <f>_xlfn.SUMIFS('Capital Data'!$M$7:$M$976,'Capital Data'!$A$7:$A$976,A24,'Capital Data'!$I$7:$I$976,"Y",'Capital Data'!$H$7:$H$976,"Yes")</f>
        <v>84483590.2391391</v>
      </c>
      <c r="D24" s="195">
        <f>_xlfn.SUMIFS('Capital Data'!$N$7:$N$976,'Capital Data'!$A$7:$A$976,A24,'Capital Data'!$I$7:$I$976,"Y",'Capital Data'!$H$7:$H$976,"Yes")</f>
        <v>3119317.4354130076</v>
      </c>
      <c r="E24" s="195">
        <f>_xlfn.SUMIFS('Capital Data'!$P$7:$P$976,'Capital Data'!$A$7:$A$976,$A24,'Capital Data'!$I$7:$I$976,"Y",'Capital Data'!$H$7:$H$976,"Yes")</f>
        <v>975420.5438694402</v>
      </c>
      <c r="F24" s="195">
        <f>_xlfn.SUMIFS('Capital Data'!$Q$7:$Q$976,'Capital Data'!$A$7:$A$976,$A24,'Capital Data'!$I$7:$I$976,"Y",'Capital Data'!$H$7:$H$976,"Yes")</f>
        <v>25066448.756302338</v>
      </c>
      <c r="G24" s="195">
        <f>_xlfn.SUMIFS('Capital Data'!$R$7:$R$976,'Capital Data'!$A$7:$A$976,$A24,'Capital Data'!$I$7:$I$976,"Y",'Capital Data'!$H$7:$H$976,"Yes")</f>
        <v>599493.8196184369</v>
      </c>
      <c r="H24" s="181">
        <f t="shared" si="0"/>
        <v>54722909.68393588</v>
      </c>
    </row>
    <row r="25" spans="1:8" ht="11.25">
      <c r="A25" s="175" t="s">
        <v>303</v>
      </c>
      <c r="B25" s="175">
        <v>20</v>
      </c>
      <c r="C25" s="180">
        <f>_xlfn.SUMIFS('Capital Data'!$M$7:$M$976,'Capital Data'!$A$7:$A$976,A25,'Capital Data'!$I$7:$I$976,"Y",'Capital Data'!$H$7:$H$976,"Yes")</f>
        <v>87550727.25586548</v>
      </c>
      <c r="D25" s="195">
        <f>_xlfn.SUMIFS('Capital Data'!$N$7:$N$976,'Capital Data'!$A$7:$A$976,A25,'Capital Data'!$I$7:$I$976,"Y",'Capital Data'!$H$7:$H$976,"Yes")</f>
        <v>3197300.3712983327</v>
      </c>
      <c r="E25" s="195">
        <f>_xlfn.SUMIFS('Capital Data'!$P$7:$P$976,'Capital Data'!$A$7:$A$976,$A25,'Capital Data'!$I$7:$I$976,"Y",'Capital Data'!$H$7:$H$976,"Yes")</f>
        <v>999806.0574661761</v>
      </c>
      <c r="F25" s="195">
        <f>_xlfn.SUMIFS('Capital Data'!$Q$7:$Q$976,'Capital Data'!$A$7:$A$976,$A25,'Capital Data'!$I$7:$I$976,"Y",'Capital Data'!$H$7:$H$976,"Yes")</f>
        <v>26069106.70655443</v>
      </c>
      <c r="G25" s="195">
        <f>_xlfn.SUMIFS('Capital Data'!$R$7:$R$976,'Capital Data'!$A$7:$A$976,$A25,'Capital Data'!$I$7:$I$976,"Y",'Capital Data'!$H$7:$H$976,"Yes")</f>
        <v>614481.1651088977</v>
      </c>
      <c r="H25" s="181">
        <f t="shared" si="0"/>
        <v>56670032.95543765</v>
      </c>
    </row>
    <row r="26" spans="1:8" ht="11.25">
      <c r="A26" s="183"/>
      <c r="B26" s="183"/>
      <c r="C26" s="180"/>
      <c r="D26" s="181"/>
      <c r="E26" s="181"/>
      <c r="F26" s="181"/>
      <c r="G26" s="181"/>
      <c r="H26" s="181"/>
    </row>
    <row r="27" spans="1:8" ht="11.25">
      <c r="A27" s="183"/>
      <c r="B27" s="183"/>
      <c r="C27" s="196">
        <f aca="true" t="shared" si="1" ref="C27:H27">SUM(C5:C26)</f>
        <v>1319765904.312652</v>
      </c>
      <c r="D27" s="196">
        <f t="shared" si="1"/>
        <v>53089315.223231755</v>
      </c>
      <c r="E27" s="196">
        <f t="shared" si="1"/>
        <v>16575792.356113274</v>
      </c>
      <c r="F27" s="196">
        <f t="shared" si="1"/>
        <v>380356774.37041485</v>
      </c>
      <c r="G27" s="196">
        <f t="shared" si="1"/>
        <v>10193727.769464843</v>
      </c>
      <c r="H27" s="196">
        <f t="shared" si="1"/>
        <v>859550294.5934272</v>
      </c>
    </row>
    <row r="30" ht="11.25">
      <c r="H30" s="193"/>
    </row>
    <row r="31" ht="11.25">
      <c r="A31" s="191" t="s">
        <v>448</v>
      </c>
    </row>
    <row r="33" spans="1:8" ht="11.25">
      <c r="A33" s="173" t="s">
        <v>165</v>
      </c>
      <c r="B33" s="173" t="s">
        <v>307</v>
      </c>
      <c r="C33" s="194" t="s">
        <v>316</v>
      </c>
      <c r="D33" s="194" t="s">
        <v>317</v>
      </c>
      <c r="E33" s="194" t="s">
        <v>41</v>
      </c>
      <c r="F33" s="194" t="s">
        <v>318</v>
      </c>
      <c r="G33" s="194" t="s">
        <v>319</v>
      </c>
      <c r="H33" s="173" t="s">
        <v>320</v>
      </c>
    </row>
    <row r="34" spans="1:8" ht="11.25">
      <c r="A34" s="175" t="s">
        <v>265</v>
      </c>
      <c r="B34" s="175">
        <v>0</v>
      </c>
      <c r="C34" s="180">
        <f>_xlfn.SUMIFS('Capital Data'!$M$7:$M$976,'Capital Data'!$A$7:$A$976,A34,'Capital Data'!$I$7:$I$976,"N",'Capital Data'!$H$7:$H$976,"Yes")</f>
        <v>49562375.78</v>
      </c>
      <c r="D34" s="195">
        <f>_xlfn.SUMIFS('Capital Data'!$N$7:$N$976,'Capital Data'!$A$7:$A$976,A34,'Capital Data'!$I$7:$I$976,"N",'Capital Data'!$H$7:$H$976,"Yes")</f>
        <v>28850000</v>
      </c>
      <c r="E34" s="195">
        <f>_xlfn.SUMIFS('Capital Data'!$P$7:$P$976,'Capital Data'!$A$7:$A$976,$A34,'Capital Data'!$I$7:$I$976,"N",'Capital Data'!$H$7:$H$976,"Yes")</f>
        <v>0</v>
      </c>
      <c r="F34" s="195">
        <f>_xlfn.SUMIFS('Capital Data'!$Q$7:$Q$976,'Capital Data'!$A$7:$A$976,$A34,'Capital Data'!$I$7:$I$976,"N",'Capital Data'!$H$7:$H$976,"Yes")</f>
        <v>0</v>
      </c>
      <c r="G34" s="195">
        <f>_xlfn.SUMIFS('Capital Data'!$R$7:$R$976,'Capital Data'!$A$7:$A$976,$A34,'Capital Data'!$I$7:$I$976,"N",'Capital Data'!$H$7:$H$976,"Yes")</f>
        <v>0</v>
      </c>
      <c r="H34" s="181">
        <f>C34-D34-E34-F34-G34</f>
        <v>20712375.78</v>
      </c>
    </row>
    <row r="35" spans="1:8" ht="11.25">
      <c r="A35" s="175" t="s">
        <v>267</v>
      </c>
      <c r="B35" s="175">
        <v>1</v>
      </c>
      <c r="C35" s="180">
        <f>_xlfn.SUMIFS('Capital Data'!$M$7:$M$976,'Capital Data'!$A$7:$A$976,A35,'Capital Data'!$I$7:$I$976,"N",'Capital Data'!$H$7:$H$976,"Yes")</f>
        <v>18102891</v>
      </c>
      <c r="D35" s="195">
        <f>_xlfn.SUMIFS('Capital Data'!$N$7:$N$976,'Capital Data'!$A$7:$A$976,A35,'Capital Data'!$I$7:$I$976,"N",'Capital Data'!$H$7:$H$976,"Yes")</f>
        <v>0</v>
      </c>
      <c r="E35" s="195">
        <f>_xlfn.SUMIFS('Capital Data'!$P$7:$P$976,'Capital Data'!$A$7:$A$976,$A35,'Capital Data'!$I$7:$I$976,"N",'Capital Data'!$H$7:$H$976,"Yes")</f>
        <v>8674247</v>
      </c>
      <c r="F35" s="195">
        <f>_xlfn.SUMIFS('Capital Data'!$Q$7:$Q$976,'Capital Data'!$A$7:$A$976,$A35,'Capital Data'!$I$7:$I$976,"N",'Capital Data'!$H$7:$H$976,"Yes")</f>
        <v>0</v>
      </c>
      <c r="G35" s="195">
        <f>_xlfn.SUMIFS('Capital Data'!$R$7:$R$976,'Capital Data'!$A$7:$A$976,$A35,'Capital Data'!$I$7:$I$976,"N",'Capital Data'!$H$7:$H$976,"Yes")</f>
        <v>0</v>
      </c>
      <c r="H35" s="181">
        <f aca="true" t="shared" si="2" ref="H35:H54">C35-D35-E35-F35-G35</f>
        <v>9428644</v>
      </c>
    </row>
    <row r="36" spans="1:8" ht="11.25">
      <c r="A36" s="175" t="s">
        <v>268</v>
      </c>
      <c r="B36" s="175">
        <v>2</v>
      </c>
      <c r="C36" s="180">
        <f>_xlfn.SUMIFS('Capital Data'!$M$7:$M$976,'Capital Data'!$A$7:$A$976,A36,'Capital Data'!$I$7:$I$976,"N",'Capital Data'!$H$7:$H$976,"Yes")</f>
        <v>20739305</v>
      </c>
      <c r="D36" s="195">
        <f>_xlfn.SUMIFS('Capital Data'!$N$7:$N$976,'Capital Data'!$A$7:$A$976,A36,'Capital Data'!$I$7:$I$976,"N",'Capital Data'!$H$7:$H$976,"Yes")</f>
        <v>0</v>
      </c>
      <c r="E36" s="195">
        <f>_xlfn.SUMIFS('Capital Data'!$P$7:$P$976,'Capital Data'!$A$7:$A$976,$A36,'Capital Data'!$I$7:$I$976,"N",'Capital Data'!$H$7:$H$976,"Yes")</f>
        <v>8358459</v>
      </c>
      <c r="F36" s="195">
        <f>_xlfn.SUMIFS('Capital Data'!$Q$7:$Q$976,'Capital Data'!$A$7:$A$976,$A36,'Capital Data'!$I$7:$I$976,"N",'Capital Data'!$H$7:$H$976,"Yes")</f>
        <v>0</v>
      </c>
      <c r="G36" s="195">
        <f>_xlfn.SUMIFS('Capital Data'!$R$7:$R$976,'Capital Data'!$A$7:$A$976,$A36,'Capital Data'!$I$7:$I$976,"N",'Capital Data'!$H$7:$H$976,"Yes")</f>
        <v>0</v>
      </c>
      <c r="H36" s="181">
        <f t="shared" si="2"/>
        <v>12380846</v>
      </c>
    </row>
    <row r="37" spans="1:8" ht="11.25">
      <c r="A37" s="175" t="s">
        <v>269</v>
      </c>
      <c r="B37" s="175">
        <v>3</v>
      </c>
      <c r="C37" s="180">
        <f>_xlfn.SUMIFS('Capital Data'!$M$7:$M$976,'Capital Data'!$A$7:$A$976,A37,'Capital Data'!$I$7:$I$976,"N",'Capital Data'!$H$7:$H$976,"Yes")</f>
        <v>22481215</v>
      </c>
      <c r="D37" s="195">
        <f>_xlfn.SUMIFS('Capital Data'!$N$7:$N$976,'Capital Data'!$A$7:$A$976,A37,'Capital Data'!$I$7:$I$976,"N",'Capital Data'!$H$7:$H$976,"Yes")</f>
        <v>0</v>
      </c>
      <c r="E37" s="195">
        <f>_xlfn.SUMIFS('Capital Data'!$P$7:$P$976,'Capital Data'!$A$7:$A$976,$A37,'Capital Data'!$I$7:$I$976,"N",'Capital Data'!$H$7:$H$976,"Yes")</f>
        <v>5457707</v>
      </c>
      <c r="F37" s="195">
        <f>_xlfn.SUMIFS('Capital Data'!$Q$7:$Q$976,'Capital Data'!$A$7:$A$976,$A37,'Capital Data'!$I$7:$I$976,"N",'Capital Data'!$H$7:$H$976,"Yes")</f>
        <v>0</v>
      </c>
      <c r="G37" s="195">
        <f>_xlfn.SUMIFS('Capital Data'!$R$7:$R$976,'Capital Data'!$A$7:$A$976,$A37,'Capital Data'!$I$7:$I$976,"N",'Capital Data'!$H$7:$H$976,"Yes")</f>
        <v>0</v>
      </c>
      <c r="H37" s="181">
        <f t="shared" si="2"/>
        <v>17023508</v>
      </c>
    </row>
    <row r="38" spans="1:8" ht="11.25">
      <c r="A38" s="175" t="s">
        <v>270</v>
      </c>
      <c r="B38" s="175">
        <v>4</v>
      </c>
      <c r="C38" s="180">
        <f>_xlfn.SUMIFS('Capital Data'!$M$7:$M$976,'Capital Data'!$A$7:$A$976,A38,'Capital Data'!$I$7:$I$976,"N",'Capital Data'!$H$7:$H$976,"Yes")</f>
        <v>20277248</v>
      </c>
      <c r="D38" s="195">
        <f>_xlfn.SUMIFS('Capital Data'!$N$7:$N$976,'Capital Data'!$A$7:$A$976,A38,'Capital Data'!$I$7:$I$976,"N",'Capital Data'!$H$7:$H$976,"Yes")</f>
        <v>0</v>
      </c>
      <c r="E38" s="195">
        <f>_xlfn.SUMIFS('Capital Data'!$P$7:$P$976,'Capital Data'!$A$7:$A$976,$A38,'Capital Data'!$I$7:$I$976,"N",'Capital Data'!$H$7:$H$976,"Yes")</f>
        <v>3140123</v>
      </c>
      <c r="F38" s="195">
        <f>_xlfn.SUMIFS('Capital Data'!$Q$7:$Q$976,'Capital Data'!$A$7:$A$976,$A38,'Capital Data'!$I$7:$I$976,"N",'Capital Data'!$H$7:$H$976,"Yes")</f>
        <v>0</v>
      </c>
      <c r="G38" s="195">
        <f>_xlfn.SUMIFS('Capital Data'!$R$7:$R$976,'Capital Data'!$A$7:$A$976,$A38,'Capital Data'!$I$7:$I$976,"N",'Capital Data'!$H$7:$H$976,"Yes")</f>
        <v>0</v>
      </c>
      <c r="H38" s="181">
        <f t="shared" si="2"/>
        <v>17137125</v>
      </c>
    </row>
    <row r="39" spans="1:8" ht="11.25">
      <c r="A39" s="175" t="s">
        <v>271</v>
      </c>
      <c r="B39" s="175">
        <v>5</v>
      </c>
      <c r="C39" s="180">
        <f>_xlfn.SUMIFS('Capital Data'!$M$7:$M$976,'Capital Data'!$A$7:$A$976,A39,'Capital Data'!$I$7:$I$976,"N",'Capital Data'!$H$7:$H$976,"Yes")</f>
        <v>17076804</v>
      </c>
      <c r="D39" s="195">
        <f>_xlfn.SUMIFS('Capital Data'!$N$7:$N$976,'Capital Data'!$A$7:$A$976,A39,'Capital Data'!$I$7:$I$976,"N",'Capital Data'!$H$7:$H$976,"Yes")</f>
        <v>0</v>
      </c>
      <c r="E39" s="195">
        <f>_xlfn.SUMIFS('Capital Data'!$P$7:$P$976,'Capital Data'!$A$7:$A$976,$A39,'Capital Data'!$I$7:$I$976,"N",'Capital Data'!$H$7:$H$976,"Yes")</f>
        <v>4113771</v>
      </c>
      <c r="F39" s="195">
        <f>_xlfn.SUMIFS('Capital Data'!$Q$7:$Q$976,'Capital Data'!$A$7:$A$976,$A39,'Capital Data'!$I$7:$I$976,"N",'Capital Data'!$H$7:$H$976,"Yes")</f>
        <v>0</v>
      </c>
      <c r="G39" s="195">
        <f>_xlfn.SUMIFS('Capital Data'!$R$7:$R$976,'Capital Data'!$A$7:$A$976,$A39,'Capital Data'!$I$7:$I$976,"N",'Capital Data'!$H$7:$H$976,"Yes")</f>
        <v>0</v>
      </c>
      <c r="H39" s="181">
        <f t="shared" si="2"/>
        <v>12963033</v>
      </c>
    </row>
    <row r="40" spans="1:8" ht="11.25">
      <c r="A40" s="175" t="s">
        <v>272</v>
      </c>
      <c r="B40" s="175">
        <v>6</v>
      </c>
      <c r="C40" s="180">
        <f>_xlfn.SUMIFS('Capital Data'!$M$7:$M$976,'Capital Data'!$A$7:$A$976,A40,'Capital Data'!$I$7:$I$976,"N",'Capital Data'!$H$7:$H$976,"Yes")</f>
        <v>12805080</v>
      </c>
      <c r="D40" s="195">
        <f>_xlfn.SUMIFS('Capital Data'!$N$7:$N$976,'Capital Data'!$A$7:$A$976,A40,'Capital Data'!$I$7:$I$976,"N",'Capital Data'!$H$7:$H$976,"Yes")</f>
        <v>0</v>
      </c>
      <c r="E40" s="195">
        <f>_xlfn.SUMIFS('Capital Data'!$P$7:$P$976,'Capital Data'!$A$7:$A$976,$A40,'Capital Data'!$I$7:$I$976,"N",'Capital Data'!$H$7:$H$976,"Yes")</f>
        <v>6153948</v>
      </c>
      <c r="F40" s="195">
        <f>_xlfn.SUMIFS('Capital Data'!$Q$7:$Q$976,'Capital Data'!$A$7:$A$976,$A40,'Capital Data'!$I$7:$I$976,"N",'Capital Data'!$H$7:$H$976,"Yes")</f>
        <v>0</v>
      </c>
      <c r="G40" s="195">
        <f>_xlfn.SUMIFS('Capital Data'!$R$7:$R$976,'Capital Data'!$A$7:$A$976,$A40,'Capital Data'!$I$7:$I$976,"N",'Capital Data'!$H$7:$H$976,"Yes")</f>
        <v>0</v>
      </c>
      <c r="H40" s="181">
        <f t="shared" si="2"/>
        <v>6651132</v>
      </c>
    </row>
    <row r="41" spans="1:8" ht="11.25">
      <c r="A41" s="175" t="s">
        <v>273</v>
      </c>
      <c r="B41" s="175">
        <v>7</v>
      </c>
      <c r="C41" s="180">
        <f>_xlfn.SUMIFS('Capital Data'!$M$7:$M$976,'Capital Data'!$A$7:$A$976,A41,'Capital Data'!$I$7:$I$976,"N",'Capital Data'!$H$7:$H$976,"Yes")</f>
        <v>15542769</v>
      </c>
      <c r="D41" s="195">
        <f>_xlfn.SUMIFS('Capital Data'!$N$7:$N$976,'Capital Data'!$A$7:$A$976,A41,'Capital Data'!$I$7:$I$976,"N",'Capital Data'!$H$7:$H$976,"Yes")</f>
        <v>0</v>
      </c>
      <c r="E41" s="195">
        <f>_xlfn.SUMIFS('Capital Data'!$P$7:$P$976,'Capital Data'!$A$7:$A$976,$A41,'Capital Data'!$I$7:$I$976,"N",'Capital Data'!$H$7:$H$976,"Yes")</f>
        <v>4844344</v>
      </c>
      <c r="F41" s="195">
        <f>_xlfn.SUMIFS('Capital Data'!$Q$7:$Q$976,'Capital Data'!$A$7:$A$976,$A41,'Capital Data'!$I$7:$I$976,"N",'Capital Data'!$H$7:$H$976,"Yes")</f>
        <v>0</v>
      </c>
      <c r="G41" s="195">
        <f>_xlfn.SUMIFS('Capital Data'!$R$7:$R$976,'Capital Data'!$A$7:$A$976,$A41,'Capital Data'!$I$7:$I$976,"N",'Capital Data'!$H$7:$H$976,"Yes")</f>
        <v>0</v>
      </c>
      <c r="H41" s="181">
        <f t="shared" si="2"/>
        <v>10698425</v>
      </c>
    </row>
    <row r="42" spans="1:8" ht="11.25">
      <c r="A42" s="175" t="s">
        <v>274</v>
      </c>
      <c r="B42" s="175">
        <v>8</v>
      </c>
      <c r="C42" s="180">
        <f>_xlfn.SUMIFS('Capital Data'!$M$7:$M$976,'Capital Data'!$A$7:$A$976,A42,'Capital Data'!$I$7:$I$976,"N",'Capital Data'!$H$7:$H$976,"Yes")</f>
        <v>11190496</v>
      </c>
      <c r="D42" s="195">
        <f>_xlfn.SUMIFS('Capital Data'!$N$7:$N$976,'Capital Data'!$A$7:$A$976,A42,'Capital Data'!$I$7:$I$976,"N",'Capital Data'!$H$7:$H$976,"Yes")</f>
        <v>0</v>
      </c>
      <c r="E42" s="195">
        <f>_xlfn.SUMIFS('Capital Data'!$P$7:$P$976,'Capital Data'!$A$7:$A$976,$A42,'Capital Data'!$I$7:$I$976,"N",'Capital Data'!$H$7:$H$976,"Yes")</f>
        <v>6130805</v>
      </c>
      <c r="F42" s="195">
        <f>_xlfn.SUMIFS('Capital Data'!$Q$7:$Q$976,'Capital Data'!$A$7:$A$976,$A42,'Capital Data'!$I$7:$I$976,"N",'Capital Data'!$H$7:$H$976,"Yes")</f>
        <v>0</v>
      </c>
      <c r="G42" s="195">
        <f>_xlfn.SUMIFS('Capital Data'!$R$7:$R$976,'Capital Data'!$A$7:$A$976,$A42,'Capital Data'!$I$7:$I$976,"N",'Capital Data'!$H$7:$H$976,"Yes")</f>
        <v>0</v>
      </c>
      <c r="H42" s="181">
        <f t="shared" si="2"/>
        <v>5059691</v>
      </c>
    </row>
    <row r="43" spans="1:8" ht="11.25">
      <c r="A43" s="175" t="s">
        <v>275</v>
      </c>
      <c r="B43" s="175">
        <v>9</v>
      </c>
      <c r="C43" s="180">
        <f>_xlfn.SUMIFS('Capital Data'!$M$7:$M$976,'Capital Data'!$A$7:$A$976,A43,'Capital Data'!$I$7:$I$976,"N",'Capital Data'!$H$7:$H$976,"Yes")</f>
        <v>16740041</v>
      </c>
      <c r="D43" s="195">
        <f>_xlfn.SUMIFS('Capital Data'!$N$7:$N$976,'Capital Data'!$A$7:$A$976,A43,'Capital Data'!$I$7:$I$976,"N",'Capital Data'!$H$7:$H$976,"Yes")</f>
        <v>0</v>
      </c>
      <c r="E43" s="195">
        <f>_xlfn.SUMIFS('Capital Data'!$P$7:$P$976,'Capital Data'!$A$7:$A$976,$A43,'Capital Data'!$I$7:$I$976,"N",'Capital Data'!$H$7:$H$976,"Yes")</f>
        <v>2013950</v>
      </c>
      <c r="F43" s="195">
        <f>_xlfn.SUMIFS('Capital Data'!$Q$7:$Q$976,'Capital Data'!$A$7:$A$976,$A43,'Capital Data'!$I$7:$I$976,"N",'Capital Data'!$H$7:$H$976,"Yes")</f>
        <v>0</v>
      </c>
      <c r="G43" s="195">
        <f>_xlfn.SUMIFS('Capital Data'!$R$7:$R$976,'Capital Data'!$A$7:$A$976,$A43,'Capital Data'!$I$7:$I$976,"N",'Capital Data'!$H$7:$H$976,"Yes")</f>
        <v>0</v>
      </c>
      <c r="H43" s="181">
        <f t="shared" si="2"/>
        <v>14726091</v>
      </c>
    </row>
    <row r="44" spans="1:8" ht="11.25">
      <c r="A44" s="175" t="s">
        <v>276</v>
      </c>
      <c r="B44" s="175">
        <v>10</v>
      </c>
      <c r="C44" s="180">
        <f>_xlfn.SUMIFS('Capital Data'!$M$7:$M$976,'Capital Data'!$A$7:$A$976,A44,'Capital Data'!$I$7:$I$976,"N",'Capital Data'!$H$7:$H$976,"Yes")</f>
        <v>11044023</v>
      </c>
      <c r="D44" s="195">
        <f>_xlfn.SUMIFS('Capital Data'!$N$7:$N$976,'Capital Data'!$A$7:$A$976,A44,'Capital Data'!$I$7:$I$976,"N",'Capital Data'!$H$7:$H$976,"Yes")</f>
        <v>0</v>
      </c>
      <c r="E44" s="195">
        <f>_xlfn.SUMIFS('Capital Data'!$P$7:$P$976,'Capital Data'!$A$7:$A$976,$A44,'Capital Data'!$I$7:$I$976,"N",'Capital Data'!$H$7:$H$976,"Yes")</f>
        <v>2031621</v>
      </c>
      <c r="F44" s="195">
        <f>_xlfn.SUMIFS('Capital Data'!$Q$7:$Q$976,'Capital Data'!$A$7:$A$976,$A44,'Capital Data'!$I$7:$I$976,"N",'Capital Data'!$H$7:$H$976,"Yes")</f>
        <v>0</v>
      </c>
      <c r="G44" s="195">
        <f>_xlfn.SUMIFS('Capital Data'!$R$7:$R$976,'Capital Data'!$A$7:$A$976,$A44,'Capital Data'!$I$7:$I$976,"N",'Capital Data'!$H$7:$H$976,"Yes")</f>
        <v>0</v>
      </c>
      <c r="H44" s="181">
        <f t="shared" si="2"/>
        <v>9012402</v>
      </c>
    </row>
    <row r="45" spans="1:8" ht="11.25">
      <c r="A45" s="175" t="s">
        <v>277</v>
      </c>
      <c r="B45" s="175">
        <v>11</v>
      </c>
      <c r="C45" s="180">
        <f>_xlfn.SUMIFS('Capital Data'!$M$7:$M$976,'Capital Data'!$A$7:$A$976,A45,'Capital Data'!$I$7:$I$976,"N",'Capital Data'!$H$7:$H$976,"Yes")</f>
        <v>6783082</v>
      </c>
      <c r="D45" s="195">
        <f>_xlfn.SUMIFS('Capital Data'!$N$7:$N$976,'Capital Data'!$A$7:$A$976,A45,'Capital Data'!$I$7:$I$976,"N",'Capital Data'!$H$7:$H$976,"Yes")</f>
        <v>0</v>
      </c>
      <c r="E45" s="195">
        <f>_xlfn.SUMIFS('Capital Data'!$P$7:$P$976,'Capital Data'!$A$7:$A$976,$A45,'Capital Data'!$I$7:$I$976,"N",'Capital Data'!$H$7:$H$976,"Yes")</f>
        <v>0</v>
      </c>
      <c r="F45" s="195">
        <f>_xlfn.SUMIFS('Capital Data'!$Q$7:$Q$976,'Capital Data'!$A$7:$A$976,$A45,'Capital Data'!$I$7:$I$976,"N",'Capital Data'!$H$7:$H$976,"Yes")</f>
        <v>0</v>
      </c>
      <c r="G45" s="195">
        <f>_xlfn.SUMIFS('Capital Data'!$R$7:$R$976,'Capital Data'!$A$7:$A$976,$A45,'Capital Data'!$I$7:$I$976,"N",'Capital Data'!$H$7:$H$976,"Yes")</f>
        <v>0</v>
      </c>
      <c r="H45" s="181">
        <f t="shared" si="2"/>
        <v>6783082</v>
      </c>
    </row>
    <row r="46" spans="1:8" ht="11.25">
      <c r="A46" s="175" t="s">
        <v>278</v>
      </c>
      <c r="B46" s="175">
        <v>12</v>
      </c>
      <c r="C46" s="180">
        <f>_xlfn.SUMIFS('Capital Data'!$M$7:$M$976,'Capital Data'!$A$7:$A$976,A46,'Capital Data'!$I$7:$I$976,"N",'Capital Data'!$H$7:$H$976,"Yes")</f>
        <v>5187648</v>
      </c>
      <c r="D46" s="195">
        <f>_xlfn.SUMIFS('Capital Data'!$N$7:$N$976,'Capital Data'!$A$7:$A$976,A46,'Capital Data'!$I$7:$I$976,"N",'Capital Data'!$H$7:$H$976,"Yes")</f>
        <v>0</v>
      </c>
      <c r="E46" s="195">
        <f>_xlfn.SUMIFS('Capital Data'!$P$7:$P$976,'Capital Data'!$A$7:$A$976,$A46,'Capital Data'!$I$7:$I$976,"N",'Capital Data'!$H$7:$H$976,"Yes")</f>
        <v>5187648</v>
      </c>
      <c r="F46" s="195">
        <f>_xlfn.SUMIFS('Capital Data'!$Q$7:$Q$976,'Capital Data'!$A$7:$A$976,$A46,'Capital Data'!$I$7:$I$976,"N",'Capital Data'!$H$7:$H$976,"Yes")</f>
        <v>0</v>
      </c>
      <c r="G46" s="195">
        <f>_xlfn.SUMIFS('Capital Data'!$R$7:$R$976,'Capital Data'!$A$7:$A$976,$A46,'Capital Data'!$I$7:$I$976,"N",'Capital Data'!$H$7:$H$976,"Yes")</f>
        <v>0</v>
      </c>
      <c r="H46" s="181">
        <f t="shared" si="2"/>
        <v>0</v>
      </c>
    </row>
    <row r="47" spans="1:8" ht="11.25">
      <c r="A47" s="175" t="s">
        <v>279</v>
      </c>
      <c r="B47" s="175">
        <v>13</v>
      </c>
      <c r="C47" s="180">
        <f>_xlfn.SUMIFS('Capital Data'!$M$7:$M$976,'Capital Data'!$A$7:$A$976,A47,'Capital Data'!$I$7:$I$976,"N",'Capital Data'!$H$7:$H$976,"Yes")</f>
        <v>2860232</v>
      </c>
      <c r="D47" s="195">
        <f>_xlfn.SUMIFS('Capital Data'!$N$7:$N$976,'Capital Data'!$A$7:$A$976,A47,'Capital Data'!$I$7:$I$976,"N",'Capital Data'!$H$7:$H$976,"Yes")</f>
        <v>0</v>
      </c>
      <c r="E47" s="195">
        <f>_xlfn.SUMIFS('Capital Data'!$P$7:$P$976,'Capital Data'!$A$7:$A$976,$A47,'Capital Data'!$I$7:$I$976,"N",'Capital Data'!$H$7:$H$976,"Yes")</f>
        <v>0</v>
      </c>
      <c r="F47" s="195">
        <f>_xlfn.SUMIFS('Capital Data'!$Q$7:$Q$976,'Capital Data'!$A$7:$A$976,$A47,'Capital Data'!$I$7:$I$976,"N",'Capital Data'!$H$7:$H$976,"Yes")</f>
        <v>0</v>
      </c>
      <c r="G47" s="195">
        <f>_xlfn.SUMIFS('Capital Data'!$R$7:$R$976,'Capital Data'!$A$7:$A$976,$A47,'Capital Data'!$I$7:$I$976,"N",'Capital Data'!$H$7:$H$976,"Yes")</f>
        <v>0</v>
      </c>
      <c r="H47" s="181">
        <f t="shared" si="2"/>
        <v>2860232</v>
      </c>
    </row>
    <row r="48" spans="1:8" ht="11.25">
      <c r="A48" s="175" t="s">
        <v>280</v>
      </c>
      <c r="B48" s="175">
        <v>14</v>
      </c>
      <c r="C48" s="180">
        <f>_xlfn.SUMIFS('Capital Data'!$M$7:$M$976,'Capital Data'!$A$7:$A$976,A48,'Capital Data'!$I$7:$I$976,"N",'Capital Data'!$H$7:$H$976,"Yes")</f>
        <v>15830795</v>
      </c>
      <c r="D48" s="195">
        <f>_xlfn.SUMIFS('Capital Data'!$N$7:$N$976,'Capital Data'!$A$7:$A$976,A48,'Capital Data'!$I$7:$I$976,"N",'Capital Data'!$H$7:$H$976,"Yes")</f>
        <v>0</v>
      </c>
      <c r="E48" s="195">
        <f>_xlfn.SUMIFS('Capital Data'!$P$7:$P$976,'Capital Data'!$A$7:$A$976,$A48,'Capital Data'!$I$7:$I$976,"N",'Capital Data'!$H$7:$H$976,"Yes")</f>
        <v>0</v>
      </c>
      <c r="F48" s="195">
        <f>_xlfn.SUMIFS('Capital Data'!$Q$7:$Q$976,'Capital Data'!$A$7:$A$976,$A48,'Capital Data'!$I$7:$I$976,"N",'Capital Data'!$H$7:$H$976,"Yes")</f>
        <v>0</v>
      </c>
      <c r="G48" s="195">
        <f>_xlfn.SUMIFS('Capital Data'!$R$7:$R$976,'Capital Data'!$A$7:$A$976,$A48,'Capital Data'!$I$7:$I$976,"N",'Capital Data'!$H$7:$H$976,"Yes")</f>
        <v>0</v>
      </c>
      <c r="H48" s="181">
        <f t="shared" si="2"/>
        <v>15830795</v>
      </c>
    </row>
    <row r="49" spans="1:8" ht="11.25">
      <c r="A49" s="175" t="s">
        <v>281</v>
      </c>
      <c r="B49" s="175">
        <v>15</v>
      </c>
      <c r="C49" s="180">
        <f>_xlfn.SUMIFS('Capital Data'!$M$7:$M$976,'Capital Data'!$A$7:$A$976,A49,'Capital Data'!$I$7:$I$976,"N",'Capital Data'!$H$7:$H$976,"Yes")</f>
        <v>1316642</v>
      </c>
      <c r="D49" s="195">
        <f>_xlfn.SUMIFS('Capital Data'!$N$7:$N$976,'Capital Data'!$A$7:$A$976,A49,'Capital Data'!$I$7:$I$976,"N",'Capital Data'!$H$7:$H$976,"Yes")</f>
        <v>0</v>
      </c>
      <c r="E49" s="195">
        <f>_xlfn.SUMIFS('Capital Data'!$P$7:$P$976,'Capital Data'!$A$7:$A$976,$A49,'Capital Data'!$I$7:$I$976,"N",'Capital Data'!$H$7:$H$976,"Yes")</f>
        <v>0</v>
      </c>
      <c r="F49" s="195">
        <f>_xlfn.SUMIFS('Capital Data'!$Q$7:$Q$976,'Capital Data'!$A$7:$A$976,$A49,'Capital Data'!$I$7:$I$976,"N",'Capital Data'!$H$7:$H$976,"Yes")</f>
        <v>0</v>
      </c>
      <c r="G49" s="195">
        <f>_xlfn.SUMIFS('Capital Data'!$R$7:$R$976,'Capital Data'!$A$7:$A$976,$A49,'Capital Data'!$I$7:$I$976,"N",'Capital Data'!$H$7:$H$976,"Yes")</f>
        <v>0</v>
      </c>
      <c r="H49" s="181">
        <f t="shared" si="2"/>
        <v>1316642</v>
      </c>
    </row>
    <row r="50" spans="1:8" ht="11.25">
      <c r="A50" s="175" t="s">
        <v>282</v>
      </c>
      <c r="B50" s="175">
        <v>16</v>
      </c>
      <c r="C50" s="180">
        <f>_xlfn.SUMIFS('Capital Data'!$M$7:$M$976,'Capital Data'!$A$7:$A$976,A50,'Capital Data'!$I$7:$I$976,"N",'Capital Data'!$H$7:$H$976,"Yes")</f>
        <v>1308751</v>
      </c>
      <c r="D50" s="195">
        <f>_xlfn.SUMIFS('Capital Data'!$N$7:$N$976,'Capital Data'!$A$7:$A$976,A50,'Capital Data'!$I$7:$I$976,"N",'Capital Data'!$H$7:$H$976,"Yes")</f>
        <v>0</v>
      </c>
      <c r="E50" s="195">
        <f>_xlfn.SUMIFS('Capital Data'!$P$7:$P$976,'Capital Data'!$A$7:$A$976,$A50,'Capital Data'!$I$7:$I$976,"N",'Capital Data'!$H$7:$H$976,"Yes")</f>
        <v>0</v>
      </c>
      <c r="F50" s="195">
        <f>_xlfn.SUMIFS('Capital Data'!$Q$7:$Q$976,'Capital Data'!$A$7:$A$976,$A50,'Capital Data'!$I$7:$I$976,"N",'Capital Data'!$H$7:$H$976,"Yes")</f>
        <v>0</v>
      </c>
      <c r="G50" s="195">
        <f>_xlfn.SUMIFS('Capital Data'!$R$7:$R$976,'Capital Data'!$A$7:$A$976,$A50,'Capital Data'!$I$7:$I$976,"N",'Capital Data'!$H$7:$H$976,"Yes")</f>
        <v>0</v>
      </c>
      <c r="H50" s="181">
        <f t="shared" si="2"/>
        <v>1308751</v>
      </c>
    </row>
    <row r="51" spans="1:8" ht="11.25">
      <c r="A51" s="175" t="s">
        <v>283</v>
      </c>
      <c r="B51" s="175">
        <v>17</v>
      </c>
      <c r="C51" s="180">
        <f>_xlfn.SUMIFS('Capital Data'!$M$7:$M$976,'Capital Data'!$A$7:$A$976,A51,'Capital Data'!$I$7:$I$976,"N",'Capital Data'!$H$7:$H$976,"Yes")</f>
        <v>621136</v>
      </c>
      <c r="D51" s="195">
        <f>_xlfn.SUMIFS('Capital Data'!$N$7:$N$976,'Capital Data'!$A$7:$A$976,A51,'Capital Data'!$I$7:$I$976,"N",'Capital Data'!$H$7:$H$976,"Yes")</f>
        <v>0</v>
      </c>
      <c r="E51" s="195">
        <f>_xlfn.SUMIFS('Capital Data'!$P$7:$P$976,'Capital Data'!$A$7:$A$976,$A51,'Capital Data'!$I$7:$I$976,"N",'Capital Data'!$H$7:$H$976,"Yes")</f>
        <v>0</v>
      </c>
      <c r="F51" s="195">
        <f>_xlfn.SUMIFS('Capital Data'!$Q$7:$Q$976,'Capital Data'!$A$7:$A$976,$A51,'Capital Data'!$I$7:$I$976,"N",'Capital Data'!$H$7:$H$976,"Yes")</f>
        <v>0</v>
      </c>
      <c r="G51" s="195">
        <f>_xlfn.SUMIFS('Capital Data'!$R$7:$R$976,'Capital Data'!$A$7:$A$976,$A51,'Capital Data'!$I$7:$I$976,"N",'Capital Data'!$H$7:$H$976,"Yes")</f>
        <v>0</v>
      </c>
      <c r="H51" s="181">
        <f t="shared" si="2"/>
        <v>621136</v>
      </c>
    </row>
    <row r="52" spans="1:8" ht="11.25">
      <c r="A52" s="175" t="s">
        <v>284</v>
      </c>
      <c r="B52" s="175">
        <v>18</v>
      </c>
      <c r="C52" s="180">
        <f>_xlfn.SUMIFS('Capital Data'!$M$7:$M$976,'Capital Data'!$A$7:$A$976,A52,'Capital Data'!$I$7:$I$976,"N",'Capital Data'!$H$7:$H$976,"Yes")</f>
        <v>3120904</v>
      </c>
      <c r="D52" s="195">
        <f>_xlfn.SUMIFS('Capital Data'!$N$7:$N$976,'Capital Data'!$A$7:$A$976,A52,'Capital Data'!$I$7:$I$976,"N",'Capital Data'!$H$7:$H$976,"Yes")</f>
        <v>0</v>
      </c>
      <c r="E52" s="195">
        <f>_xlfn.SUMIFS('Capital Data'!$P$7:$P$976,'Capital Data'!$A$7:$A$976,$A52,'Capital Data'!$I$7:$I$976,"N",'Capital Data'!$H$7:$H$976,"Yes")</f>
        <v>0</v>
      </c>
      <c r="F52" s="195">
        <f>_xlfn.SUMIFS('Capital Data'!$Q$7:$Q$976,'Capital Data'!$A$7:$A$976,$A52,'Capital Data'!$I$7:$I$976,"N",'Capital Data'!$H$7:$H$976,"Yes")</f>
        <v>0</v>
      </c>
      <c r="G52" s="195">
        <f>_xlfn.SUMIFS('Capital Data'!$R$7:$R$976,'Capital Data'!$A$7:$A$976,$A52,'Capital Data'!$I$7:$I$976,"N",'Capital Data'!$H$7:$H$976,"Yes")</f>
        <v>0</v>
      </c>
      <c r="H52" s="181">
        <f t="shared" si="2"/>
        <v>3120904</v>
      </c>
    </row>
    <row r="53" spans="1:8" ht="11.25">
      <c r="A53" s="175" t="s">
        <v>285</v>
      </c>
      <c r="B53" s="175">
        <v>19</v>
      </c>
      <c r="C53" s="180">
        <f>_xlfn.SUMIFS('Capital Data'!$M$7:$M$976,'Capital Data'!$A$7:$A$976,A53,'Capital Data'!$I$7:$I$976,"N",'Capital Data'!$H$7:$H$976,"Yes")</f>
        <v>3398514</v>
      </c>
      <c r="D53" s="195">
        <f>_xlfn.SUMIFS('Capital Data'!$N$7:$N$976,'Capital Data'!$A$7:$A$976,A53,'Capital Data'!$I$7:$I$976,"N",'Capital Data'!$H$7:$H$976,"Yes")</f>
        <v>0</v>
      </c>
      <c r="E53" s="195">
        <f>_xlfn.SUMIFS('Capital Data'!$P$7:$P$976,'Capital Data'!$A$7:$A$976,$A53,'Capital Data'!$I$7:$I$976,"N",'Capital Data'!$H$7:$H$976,"Yes")</f>
        <v>0</v>
      </c>
      <c r="F53" s="195">
        <f>_xlfn.SUMIFS('Capital Data'!$Q$7:$Q$976,'Capital Data'!$A$7:$A$976,$A53,'Capital Data'!$I$7:$I$976,"N",'Capital Data'!$H$7:$H$976,"Yes")</f>
        <v>0</v>
      </c>
      <c r="G53" s="195">
        <f>_xlfn.SUMIFS('Capital Data'!$R$7:$R$976,'Capital Data'!$A$7:$A$976,$A53,'Capital Data'!$I$7:$I$976,"N",'Capital Data'!$H$7:$H$976,"Yes")</f>
        <v>0</v>
      </c>
      <c r="H53" s="181">
        <f t="shared" si="2"/>
        <v>3398514</v>
      </c>
    </row>
    <row r="54" spans="1:8" ht="11.25">
      <c r="A54" s="175" t="s">
        <v>303</v>
      </c>
      <c r="B54" s="175">
        <v>20</v>
      </c>
      <c r="C54" s="180">
        <f>_xlfn.SUMIFS('Capital Data'!$M$7:$M$976,'Capital Data'!$A$7:$A$976,A54,'Capital Data'!$I$7:$I$976,"N",'Capital Data'!$H$7:$H$976,"Yes")</f>
        <v>67629093</v>
      </c>
      <c r="D54" s="195">
        <f>_xlfn.SUMIFS('Capital Data'!$N$7:$N$976,'Capital Data'!$A$7:$A$976,A54,'Capital Data'!$I$7:$I$976,"N",'Capital Data'!$H$7:$H$976,"Yes")</f>
        <v>0</v>
      </c>
      <c r="E54" s="195">
        <f>_xlfn.SUMIFS('Capital Data'!$P$7:$P$976,'Capital Data'!$A$7:$A$976,$A54,'Capital Data'!$I$7:$I$976,"N",'Capital Data'!$H$7:$H$976,"Yes")</f>
        <v>0</v>
      </c>
      <c r="F54" s="195">
        <f>_xlfn.SUMIFS('Capital Data'!$Q$7:$Q$976,'Capital Data'!$A$7:$A$976,$A54,'Capital Data'!$I$7:$I$976,"N",'Capital Data'!$H$7:$H$976,"Yes")</f>
        <v>0</v>
      </c>
      <c r="G54" s="195">
        <f>_xlfn.SUMIFS('Capital Data'!$R$7:$R$976,'Capital Data'!$A$7:$A$976,$A54,'Capital Data'!$I$7:$I$976,"N",'Capital Data'!$H$7:$H$976,"Yes")</f>
        <v>0</v>
      </c>
      <c r="H54" s="181">
        <f t="shared" si="2"/>
        <v>67629093</v>
      </c>
    </row>
    <row r="55" spans="1:8" ht="11.25">
      <c r="A55" s="183"/>
      <c r="B55" s="183"/>
      <c r="C55" s="180"/>
      <c r="D55" s="181"/>
      <c r="E55" s="181"/>
      <c r="F55" s="181"/>
      <c r="G55" s="181"/>
      <c r="H55" s="181"/>
    </row>
    <row r="56" spans="1:8" ht="11.25">
      <c r="A56" s="183"/>
      <c r="B56" s="183"/>
      <c r="C56" s="196">
        <f aca="true" t="shared" si="3" ref="C56:H56">SUM(C34:C55)</f>
        <v>323619044.78</v>
      </c>
      <c r="D56" s="196">
        <f t="shared" si="3"/>
        <v>28850000</v>
      </c>
      <c r="E56" s="196">
        <f t="shared" si="3"/>
        <v>56106623</v>
      </c>
      <c r="F56" s="196">
        <f t="shared" si="3"/>
        <v>0</v>
      </c>
      <c r="G56" s="196">
        <f t="shared" si="3"/>
        <v>0</v>
      </c>
      <c r="H56" s="196">
        <f t="shared" si="3"/>
        <v>238662421.78</v>
      </c>
    </row>
    <row r="60" ht="11.25">
      <c r="A60" s="191" t="s">
        <v>233</v>
      </c>
    </row>
    <row r="62" spans="1:8" ht="11.25">
      <c r="A62" s="173" t="s">
        <v>165</v>
      </c>
      <c r="B62" s="173" t="s">
        <v>307</v>
      </c>
      <c r="C62" s="194" t="s">
        <v>316</v>
      </c>
      <c r="D62" s="194" t="s">
        <v>317</v>
      </c>
      <c r="E62" s="194" t="s">
        <v>41</v>
      </c>
      <c r="F62" s="194" t="s">
        <v>318</v>
      </c>
      <c r="G62" s="194" t="s">
        <v>319</v>
      </c>
      <c r="H62" s="173" t="s">
        <v>320</v>
      </c>
    </row>
    <row r="63" spans="1:8" ht="11.25">
      <c r="A63" s="175" t="s">
        <v>265</v>
      </c>
      <c r="B63" s="175">
        <v>0</v>
      </c>
      <c r="C63" s="180">
        <f aca="true" t="shared" si="4" ref="C63:H63">C5+C34</f>
        <v>92531185.78</v>
      </c>
      <c r="D63" s="195">
        <f t="shared" si="4"/>
        <v>30850000</v>
      </c>
      <c r="E63" s="195">
        <f t="shared" si="4"/>
        <v>600000</v>
      </c>
      <c r="F63" s="195">
        <f t="shared" si="4"/>
        <v>11897600</v>
      </c>
      <c r="G63" s="195">
        <f t="shared" si="4"/>
        <v>375000</v>
      </c>
      <c r="H63" s="195">
        <f t="shared" si="4"/>
        <v>48808585.78</v>
      </c>
    </row>
    <row r="64" spans="1:8" ht="11.25">
      <c r="A64" s="175" t="s">
        <v>267</v>
      </c>
      <c r="B64" s="175">
        <v>1</v>
      </c>
      <c r="C64" s="180">
        <f aca="true" t="shared" si="5" ref="C64:H79">C6+C35</f>
        <v>62877184.92</v>
      </c>
      <c r="D64" s="195">
        <f t="shared" si="5"/>
        <v>2000000</v>
      </c>
      <c r="E64" s="195">
        <f t="shared" si="5"/>
        <v>9299653.4</v>
      </c>
      <c r="F64" s="195">
        <f t="shared" si="5"/>
        <v>12373504</v>
      </c>
      <c r="G64" s="195">
        <f t="shared" si="5"/>
        <v>384374.99999999994</v>
      </c>
      <c r="H64" s="195">
        <f t="shared" si="5"/>
        <v>38819652.52</v>
      </c>
    </row>
    <row r="65" spans="1:8" ht="11.25">
      <c r="A65" s="175" t="s">
        <v>268</v>
      </c>
      <c r="B65" s="175">
        <v>2</v>
      </c>
      <c r="C65" s="180">
        <f t="shared" si="5"/>
        <v>67104394.4528</v>
      </c>
      <c r="D65" s="195">
        <f t="shared" si="5"/>
        <v>2049999.9999999998</v>
      </c>
      <c r="E65" s="195">
        <f t="shared" si="5"/>
        <v>8999500.56</v>
      </c>
      <c r="F65" s="195">
        <f t="shared" si="5"/>
        <v>12868444.16</v>
      </c>
      <c r="G65" s="195">
        <f t="shared" si="5"/>
        <v>393984.3749999999</v>
      </c>
      <c r="H65" s="195">
        <f t="shared" si="5"/>
        <v>42792465.35779999</v>
      </c>
    </row>
    <row r="66" spans="1:8" ht="11.25">
      <c r="A66" s="175" t="s">
        <v>269</v>
      </c>
      <c r="B66" s="175">
        <v>3</v>
      </c>
      <c r="C66" s="180">
        <f t="shared" si="5"/>
        <v>70495727.401312</v>
      </c>
      <c r="D66" s="195">
        <f t="shared" si="5"/>
        <v>2101249.9999999995</v>
      </c>
      <c r="E66" s="195">
        <f t="shared" si="5"/>
        <v>6114774.598999999</v>
      </c>
      <c r="F66" s="195">
        <f t="shared" si="5"/>
        <v>13383181.9264</v>
      </c>
      <c r="G66" s="195">
        <f t="shared" si="5"/>
        <v>403833.9843749998</v>
      </c>
      <c r="H66" s="195">
        <f t="shared" si="5"/>
        <v>48492686.891537</v>
      </c>
    </row>
    <row r="67" spans="1:8" ht="11.25">
      <c r="A67" s="175" t="s">
        <v>270</v>
      </c>
      <c r="B67" s="175">
        <v>4</v>
      </c>
      <c r="C67" s="180">
        <f t="shared" si="5"/>
        <v>70002030.75202447</v>
      </c>
      <c r="D67" s="195">
        <f t="shared" si="5"/>
        <v>2153781.2499999995</v>
      </c>
      <c r="E67" s="195">
        <f t="shared" si="5"/>
        <v>3813617.288975</v>
      </c>
      <c r="F67" s="195">
        <f t="shared" si="5"/>
        <v>13918509.203456001</v>
      </c>
      <c r="G67" s="195">
        <f t="shared" si="5"/>
        <v>413929.83398437477</v>
      </c>
      <c r="H67" s="195">
        <f t="shared" si="5"/>
        <v>49702193.175609104</v>
      </c>
    </row>
    <row r="68" spans="1:8" ht="11.25">
      <c r="A68" s="175" t="s">
        <v>271</v>
      </c>
      <c r="B68" s="175">
        <v>5</v>
      </c>
      <c r="C68" s="180">
        <f t="shared" si="5"/>
        <v>68575010.16313197</v>
      </c>
      <c r="D68" s="195">
        <f t="shared" si="5"/>
        <v>2207625.7812499995</v>
      </c>
      <c r="E68" s="195">
        <f t="shared" si="5"/>
        <v>4804102.646199374</v>
      </c>
      <c r="F68" s="195">
        <f t="shared" si="5"/>
        <v>14475249.571594242</v>
      </c>
      <c r="G68" s="195">
        <f t="shared" si="5"/>
        <v>424278.0798339841</v>
      </c>
      <c r="H68" s="195">
        <f t="shared" si="5"/>
        <v>46663754.08425437</v>
      </c>
    </row>
    <row r="69" spans="1:8" ht="11.25">
      <c r="A69" s="175" t="s">
        <v>272</v>
      </c>
      <c r="B69" s="175">
        <v>6</v>
      </c>
      <c r="C69" s="180">
        <f t="shared" si="5"/>
        <v>66142257.31320941</v>
      </c>
      <c r="D69" s="195">
        <f t="shared" si="5"/>
        <v>2262816.4257812495</v>
      </c>
      <c r="E69" s="195">
        <f t="shared" si="5"/>
        <v>6861537.937354359</v>
      </c>
      <c r="F69" s="195">
        <f t="shared" si="5"/>
        <v>15054259.554458013</v>
      </c>
      <c r="G69" s="195">
        <f t="shared" si="5"/>
        <v>434885.03182983364</v>
      </c>
      <c r="H69" s="195">
        <f t="shared" si="5"/>
        <v>41528758.36378595</v>
      </c>
    </row>
    <row r="70" spans="1:8" ht="11.25">
      <c r="A70" s="175" t="s">
        <v>273</v>
      </c>
      <c r="B70" s="175">
        <v>7</v>
      </c>
      <c r="C70" s="180">
        <f t="shared" si="5"/>
        <v>70786952.38187875</v>
      </c>
      <c r="D70" s="195">
        <f t="shared" si="5"/>
        <v>2319386.836425781</v>
      </c>
      <c r="E70" s="195">
        <f t="shared" si="5"/>
        <v>5569623.685788218</v>
      </c>
      <c r="F70" s="195">
        <f t="shared" si="5"/>
        <v>15656429.936636334</v>
      </c>
      <c r="G70" s="195">
        <f t="shared" si="5"/>
        <v>445757.15762557945</v>
      </c>
      <c r="H70" s="195">
        <f t="shared" si="5"/>
        <v>46795754.76540284</v>
      </c>
    </row>
    <row r="71" spans="1:8" ht="11.25">
      <c r="A71" s="175" t="s">
        <v>274</v>
      </c>
      <c r="B71" s="175">
        <v>8</v>
      </c>
      <c r="C71" s="180">
        <f t="shared" si="5"/>
        <v>68412303.6676984</v>
      </c>
      <c r="D71" s="195">
        <f t="shared" si="5"/>
        <v>2377371.507336425</v>
      </c>
      <c r="E71" s="195">
        <f t="shared" si="5"/>
        <v>6874216.677932924</v>
      </c>
      <c r="F71" s="195">
        <f t="shared" si="5"/>
        <v>16282687.134101788</v>
      </c>
      <c r="G71" s="195">
        <f t="shared" si="5"/>
        <v>456901.0865662189</v>
      </c>
      <c r="H71" s="195">
        <f t="shared" si="5"/>
        <v>42421127.26176105</v>
      </c>
    </row>
    <row r="72" spans="1:8" ht="11.25">
      <c r="A72" s="175" t="s">
        <v>275</v>
      </c>
      <c r="B72" s="175">
        <v>9</v>
      </c>
      <c r="C72" s="180">
        <f t="shared" si="5"/>
        <v>76012774.34871444</v>
      </c>
      <c r="D72" s="195">
        <f t="shared" si="5"/>
        <v>2436805.7950198357</v>
      </c>
      <c r="E72" s="195">
        <f t="shared" si="5"/>
        <v>2775946.9698812463</v>
      </c>
      <c r="F72" s="195">
        <f t="shared" si="5"/>
        <v>16933994.61946586</v>
      </c>
      <c r="G72" s="195">
        <f t="shared" si="5"/>
        <v>468323.6137303743</v>
      </c>
      <c r="H72" s="195">
        <f t="shared" si="5"/>
        <v>53397703.350617126</v>
      </c>
    </row>
    <row r="73" spans="1:8" ht="11.25">
      <c r="A73" s="175" t="s">
        <v>276</v>
      </c>
      <c r="B73" s="175">
        <v>10</v>
      </c>
      <c r="C73" s="180">
        <f t="shared" si="5"/>
        <v>72443770.39132881</v>
      </c>
      <c r="D73" s="195">
        <f t="shared" si="5"/>
        <v>2497725.9398953314</v>
      </c>
      <c r="E73" s="195">
        <f t="shared" si="5"/>
        <v>2812667.8941282774</v>
      </c>
      <c r="F73" s="195">
        <f t="shared" si="5"/>
        <v>17611354.404244497</v>
      </c>
      <c r="G73" s="195">
        <f t="shared" si="5"/>
        <v>480031.70407363365</v>
      </c>
      <c r="H73" s="195">
        <f t="shared" si="5"/>
        <v>49041990.448987074</v>
      </c>
    </row>
    <row r="74" spans="1:8" ht="11.25">
      <c r="A74" s="175" t="s">
        <v>277</v>
      </c>
      <c r="B74" s="175">
        <v>11</v>
      </c>
      <c r="C74" s="180">
        <f t="shared" si="5"/>
        <v>70388826.61336441</v>
      </c>
      <c r="D74" s="195">
        <f t="shared" si="5"/>
        <v>2560169.0883927145</v>
      </c>
      <c r="E74" s="195">
        <f t="shared" si="5"/>
        <v>800573.0664814843</v>
      </c>
      <c r="F74" s="195">
        <f t="shared" si="5"/>
        <v>18315808.580414277</v>
      </c>
      <c r="G74" s="195">
        <f t="shared" si="5"/>
        <v>492032.49667547445</v>
      </c>
      <c r="H74" s="195">
        <f t="shared" si="5"/>
        <v>48220243.381400466</v>
      </c>
    </row>
    <row r="75" spans="1:8" ht="11.25">
      <c r="A75" s="175" t="s">
        <v>278</v>
      </c>
      <c r="B75" s="175">
        <v>12</v>
      </c>
      <c r="C75" s="180">
        <f t="shared" si="5"/>
        <v>71081379.90744099</v>
      </c>
      <c r="D75" s="195">
        <f t="shared" si="5"/>
        <v>2624173.315602532</v>
      </c>
      <c r="E75" s="195">
        <f t="shared" si="5"/>
        <v>6008235.393143522</v>
      </c>
      <c r="F75" s="195">
        <f t="shared" si="5"/>
        <v>19048440.92363085</v>
      </c>
      <c r="G75" s="195">
        <f t="shared" si="5"/>
        <v>504333.30909236125</v>
      </c>
      <c r="H75" s="195">
        <f t="shared" si="5"/>
        <v>42896196.96597174</v>
      </c>
    </row>
    <row r="76" spans="1:8" ht="11.25">
      <c r="A76" s="175" t="s">
        <v>279</v>
      </c>
      <c r="B76" s="175">
        <v>13</v>
      </c>
      <c r="C76" s="180">
        <f t="shared" si="5"/>
        <v>71127064.6310192</v>
      </c>
      <c r="D76" s="195">
        <f t="shared" si="5"/>
        <v>2689777.648492595</v>
      </c>
      <c r="E76" s="195">
        <f t="shared" si="5"/>
        <v>841102.0779721094</v>
      </c>
      <c r="F76" s="195">
        <f t="shared" si="5"/>
        <v>19810378.560576085</v>
      </c>
      <c r="G76" s="195">
        <f t="shared" si="5"/>
        <v>516941.6418196702</v>
      </c>
      <c r="H76" s="195">
        <f t="shared" si="5"/>
        <v>47268864.70215875</v>
      </c>
    </row>
    <row r="77" spans="1:8" ht="11.25">
      <c r="A77" s="175" t="s">
        <v>280</v>
      </c>
      <c r="B77" s="175">
        <v>14</v>
      </c>
      <c r="C77" s="180">
        <f t="shared" si="5"/>
        <v>86559086.16972256</v>
      </c>
      <c r="D77" s="195">
        <f t="shared" si="5"/>
        <v>2757022.08970491</v>
      </c>
      <c r="E77" s="195">
        <f t="shared" si="5"/>
        <v>862129.629921412</v>
      </c>
      <c r="F77" s="195">
        <f t="shared" si="5"/>
        <v>20602793.70299913</v>
      </c>
      <c r="G77" s="195">
        <f t="shared" si="5"/>
        <v>529865.1828651619</v>
      </c>
      <c r="H77" s="195">
        <f t="shared" si="5"/>
        <v>61807275.56423194</v>
      </c>
    </row>
    <row r="78" spans="1:8" ht="11.25">
      <c r="A78" s="175" t="s">
        <v>281</v>
      </c>
      <c r="B78" s="175">
        <v>15</v>
      </c>
      <c r="C78" s="180">
        <f t="shared" si="5"/>
        <v>74598119.6808106</v>
      </c>
      <c r="D78" s="195">
        <f t="shared" si="5"/>
        <v>2825947.6419475325</v>
      </c>
      <c r="E78" s="195">
        <f t="shared" si="5"/>
        <v>883682.8706694472</v>
      </c>
      <c r="F78" s="195">
        <f t="shared" si="5"/>
        <v>21426905.451119095</v>
      </c>
      <c r="G78" s="195">
        <f t="shared" si="5"/>
        <v>543111.8124367909</v>
      </c>
      <c r="H78" s="195">
        <f t="shared" si="5"/>
        <v>48918471.904637724</v>
      </c>
    </row>
    <row r="79" spans="1:8" ht="11.25">
      <c r="A79" s="175" t="s">
        <v>282</v>
      </c>
      <c r="B79" s="175">
        <v>16</v>
      </c>
      <c r="C79" s="180">
        <f t="shared" si="5"/>
        <v>77238644.02394965</v>
      </c>
      <c r="D79" s="195">
        <f t="shared" si="5"/>
        <v>2896596.332996221</v>
      </c>
      <c r="E79" s="195">
        <f t="shared" si="5"/>
        <v>905774.9424361833</v>
      </c>
      <c r="F79" s="195">
        <f t="shared" si="5"/>
        <v>22283981.66916386</v>
      </c>
      <c r="G79" s="195">
        <f t="shared" si="5"/>
        <v>556689.6077477107</v>
      </c>
      <c r="H79" s="195">
        <f t="shared" si="5"/>
        <v>50595601.47160567</v>
      </c>
    </row>
    <row r="80" spans="1:8" ht="11.25">
      <c r="A80" s="175" t="s">
        <v>283</v>
      </c>
      <c r="B80" s="175">
        <v>17</v>
      </c>
      <c r="C80" s="180">
        <f aca="true" t="shared" si="6" ref="C80:H83">C22+C51</f>
        <v>79298309.88671191</v>
      </c>
      <c r="D80" s="195">
        <f t="shared" si="6"/>
        <v>2969011.241321126</v>
      </c>
      <c r="E80" s="195">
        <f t="shared" si="6"/>
        <v>928419.3159970879</v>
      </c>
      <c r="F80" s="195">
        <f t="shared" si="6"/>
        <v>23175340.935930416</v>
      </c>
      <c r="G80" s="195">
        <f t="shared" si="6"/>
        <v>570606.8479414034</v>
      </c>
      <c r="H80" s="195">
        <f t="shared" si="6"/>
        <v>51654931.54552186</v>
      </c>
    </row>
    <row r="81" spans="1:8" ht="11.25">
      <c r="A81" s="175" t="s">
        <v>284</v>
      </c>
      <c r="B81" s="175">
        <v>18</v>
      </c>
      <c r="C81" s="180">
        <f t="shared" si="6"/>
        <v>84648002.11252978</v>
      </c>
      <c r="D81" s="195">
        <f t="shared" si="6"/>
        <v>3043236.522354154</v>
      </c>
      <c r="E81" s="195">
        <f t="shared" si="6"/>
        <v>951629.7988970149</v>
      </c>
      <c r="F81" s="195">
        <f t="shared" si="6"/>
        <v>24102354.573367633</v>
      </c>
      <c r="G81" s="195">
        <f t="shared" si="6"/>
        <v>584872.0191399384</v>
      </c>
      <c r="H81" s="195">
        <f t="shared" si="6"/>
        <v>55965909.198771045</v>
      </c>
    </row>
    <row r="82" spans="1:8" ht="11.25">
      <c r="A82" s="175" t="s">
        <v>285</v>
      </c>
      <c r="B82" s="175">
        <v>19</v>
      </c>
      <c r="C82" s="180">
        <f t="shared" si="6"/>
        <v>87882104.2391391</v>
      </c>
      <c r="D82" s="195">
        <f t="shared" si="6"/>
        <v>3119317.4354130076</v>
      </c>
      <c r="E82" s="195">
        <f t="shared" si="6"/>
        <v>975420.5438694402</v>
      </c>
      <c r="F82" s="195">
        <f t="shared" si="6"/>
        <v>25066448.756302338</v>
      </c>
      <c r="G82" s="195">
        <f t="shared" si="6"/>
        <v>599493.8196184369</v>
      </c>
      <c r="H82" s="195">
        <f t="shared" si="6"/>
        <v>58121423.68393588</v>
      </c>
    </row>
    <row r="83" spans="1:8" ht="11.25">
      <c r="A83" s="175" t="s">
        <v>303</v>
      </c>
      <c r="B83" s="175">
        <v>20</v>
      </c>
      <c r="C83" s="180">
        <f t="shared" si="6"/>
        <v>155179820.25586548</v>
      </c>
      <c r="D83" s="195">
        <f t="shared" si="6"/>
        <v>3197300.3712983327</v>
      </c>
      <c r="E83" s="195">
        <f t="shared" si="6"/>
        <v>999806.0574661761</v>
      </c>
      <c r="F83" s="195">
        <f t="shared" si="6"/>
        <v>26069106.70655443</v>
      </c>
      <c r="G83" s="195">
        <f t="shared" si="6"/>
        <v>614481.1651088977</v>
      </c>
      <c r="H83" s="195">
        <f t="shared" si="6"/>
        <v>124299125.95543766</v>
      </c>
    </row>
    <row r="84" spans="1:8" ht="11.25">
      <c r="A84" s="183"/>
      <c r="B84" s="183"/>
      <c r="C84" s="180"/>
      <c r="D84" s="181"/>
      <c r="E84" s="181"/>
      <c r="F84" s="181"/>
      <c r="G84" s="181"/>
      <c r="H84" s="181"/>
    </row>
    <row r="85" spans="1:8" ht="11.25">
      <c r="A85" s="183"/>
      <c r="B85" s="183"/>
      <c r="C85" s="196">
        <f aca="true" t="shared" si="7" ref="C85:H85">SUM(C63:C84)</f>
        <v>1643384949.092652</v>
      </c>
      <c r="D85" s="196">
        <f t="shared" si="7"/>
        <v>81939315.22323175</v>
      </c>
      <c r="E85" s="196">
        <f t="shared" si="7"/>
        <v>72682415.35611328</v>
      </c>
      <c r="F85" s="196">
        <f t="shared" si="7"/>
        <v>380356774.37041485</v>
      </c>
      <c r="G85" s="196">
        <f t="shared" si="7"/>
        <v>10193727.769464843</v>
      </c>
      <c r="H85" s="196">
        <f t="shared" si="7"/>
        <v>1098212716.3734272</v>
      </c>
    </row>
    <row r="93" ht="11.25">
      <c r="C93" s="292"/>
    </row>
    <row r="94" ht="11.25">
      <c r="C94" s="292"/>
    </row>
    <row r="95" ht="11.25">
      <c r="C95" s="292"/>
    </row>
    <row r="96" ht="11.25">
      <c r="C96" s="292"/>
    </row>
    <row r="97" ht="11.25">
      <c r="C97" s="292"/>
    </row>
    <row r="98" ht="11.25">
      <c r="C98" s="292"/>
    </row>
    <row r="99" ht="11.25">
      <c r="C99" s="292"/>
    </row>
    <row r="100" ht="11.25">
      <c r="C100" s="292"/>
    </row>
    <row r="101" ht="11.25">
      <c r="C101" s="292"/>
    </row>
    <row r="103" ht="11.25">
      <c r="C103" s="2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F55"/>
  <sheetViews>
    <sheetView zoomScalePageLayoutView="0" workbookViewId="0" topLeftCell="A1">
      <selection activeCell="G32" sqref="G32:N33"/>
    </sheetView>
  </sheetViews>
  <sheetFormatPr defaultColWidth="9.33203125" defaultRowHeight="12.75"/>
  <cols>
    <col min="2" max="6" width="12.66015625" style="0" customWidth="1"/>
  </cols>
  <sheetData>
    <row r="4" spans="2:6" ht="12.75">
      <c r="B4" s="293"/>
      <c r="C4" s="309" t="s">
        <v>525</v>
      </c>
      <c r="D4" s="309"/>
      <c r="E4" s="309"/>
      <c r="F4" s="309"/>
    </row>
    <row r="5" spans="2:6" ht="12.75">
      <c r="B5" s="293"/>
      <c r="C5" s="293"/>
      <c r="D5" s="296" t="s">
        <v>289</v>
      </c>
      <c r="E5" s="296" t="s">
        <v>288</v>
      </c>
      <c r="F5" s="296" t="s">
        <v>524</v>
      </c>
    </row>
    <row r="6" spans="2:6" ht="12.75">
      <c r="B6" s="293"/>
      <c r="C6" s="293"/>
      <c r="D6" s="296" t="s">
        <v>523</v>
      </c>
      <c r="E6" s="296" t="s">
        <v>523</v>
      </c>
      <c r="F6" s="296" t="s">
        <v>523</v>
      </c>
    </row>
    <row r="7" spans="2:6" ht="12.75">
      <c r="B7" s="297" t="s">
        <v>471</v>
      </c>
      <c r="C7" s="294" t="s">
        <v>266</v>
      </c>
      <c r="D7" s="295">
        <v>1429</v>
      </c>
      <c r="E7" s="295">
        <v>547</v>
      </c>
      <c r="F7" s="298">
        <f>D7-E7</f>
        <v>882</v>
      </c>
    </row>
    <row r="8" spans="2:6" ht="12.75">
      <c r="B8" s="297" t="s">
        <v>171</v>
      </c>
      <c r="C8" s="294" t="s">
        <v>265</v>
      </c>
      <c r="D8" s="295">
        <v>4597</v>
      </c>
      <c r="E8" s="295">
        <v>2092</v>
      </c>
      <c r="F8" s="298">
        <f>F7+D8-E8</f>
        <v>3387</v>
      </c>
    </row>
    <row r="9" spans="2:6" ht="12.75">
      <c r="B9" s="297" t="s">
        <v>172</v>
      </c>
      <c r="C9" s="294" t="s">
        <v>267</v>
      </c>
      <c r="D9" s="295">
        <v>4463</v>
      </c>
      <c r="E9" s="295">
        <v>14066</v>
      </c>
      <c r="F9" s="298">
        <f aca="true" t="shared" si="0" ref="F9:F27">F8+D9-E9</f>
        <v>-6216</v>
      </c>
    </row>
    <row r="10" spans="2:6" ht="12.75">
      <c r="B10" s="297" t="s">
        <v>173</v>
      </c>
      <c r="C10" s="294" t="s">
        <v>268</v>
      </c>
      <c r="D10" s="295">
        <v>7812</v>
      </c>
      <c r="E10" s="295">
        <v>19271</v>
      </c>
      <c r="F10" s="298">
        <f t="shared" si="0"/>
        <v>-17675</v>
      </c>
    </row>
    <row r="11" spans="2:6" ht="12.75">
      <c r="B11" s="297" t="s">
        <v>174</v>
      </c>
      <c r="C11" s="294" t="s">
        <v>269</v>
      </c>
      <c r="D11" s="295">
        <v>8649</v>
      </c>
      <c r="E11" s="295">
        <v>16515</v>
      </c>
      <c r="F11" s="298">
        <f t="shared" si="0"/>
        <v>-25541</v>
      </c>
    </row>
    <row r="12" spans="2:6" ht="12.75">
      <c r="B12" s="297" t="s">
        <v>175</v>
      </c>
      <c r="C12" s="294" t="s">
        <v>270</v>
      </c>
      <c r="D12" s="295">
        <v>7086</v>
      </c>
      <c r="E12" s="295">
        <v>10512</v>
      </c>
      <c r="F12" s="298">
        <f t="shared" si="0"/>
        <v>-28967</v>
      </c>
    </row>
    <row r="13" spans="2:6" ht="12.75">
      <c r="B13" s="297" t="s">
        <v>176</v>
      </c>
      <c r="C13" s="294" t="s">
        <v>271</v>
      </c>
      <c r="D13" s="295">
        <v>7335</v>
      </c>
      <c r="E13" s="295">
        <v>16485</v>
      </c>
      <c r="F13" s="298">
        <f t="shared" si="0"/>
        <v>-38117</v>
      </c>
    </row>
    <row r="14" spans="2:6" ht="12.75">
      <c r="B14" s="297" t="s">
        <v>0</v>
      </c>
      <c r="C14" s="294" t="s">
        <v>272</v>
      </c>
      <c r="D14" s="295">
        <v>5609</v>
      </c>
      <c r="E14" s="295">
        <v>6758</v>
      </c>
      <c r="F14" s="298">
        <f t="shared" si="0"/>
        <v>-39266</v>
      </c>
    </row>
    <row r="15" spans="2:6" ht="12.75">
      <c r="B15" s="297" t="s">
        <v>1</v>
      </c>
      <c r="C15" s="294" t="s">
        <v>273</v>
      </c>
      <c r="D15" s="295">
        <v>6295</v>
      </c>
      <c r="E15" s="295">
        <v>14284</v>
      </c>
      <c r="F15" s="298">
        <f t="shared" si="0"/>
        <v>-47255</v>
      </c>
    </row>
    <row r="16" spans="2:6" ht="12.75">
      <c r="B16" s="297" t="s">
        <v>2</v>
      </c>
      <c r="C16" s="294" t="s">
        <v>274</v>
      </c>
      <c r="D16" s="295">
        <v>11694</v>
      </c>
      <c r="E16" s="295">
        <v>9261</v>
      </c>
      <c r="F16" s="298">
        <f t="shared" si="0"/>
        <v>-44822</v>
      </c>
    </row>
    <row r="17" spans="2:6" ht="12.75">
      <c r="B17" s="297" t="s">
        <v>3</v>
      </c>
      <c r="C17" s="294" t="s">
        <v>275</v>
      </c>
      <c r="D17" s="295">
        <v>13311</v>
      </c>
      <c r="E17" s="295">
        <v>14848</v>
      </c>
      <c r="F17" s="298">
        <f t="shared" si="0"/>
        <v>-46359</v>
      </c>
    </row>
    <row r="18" spans="2:6" ht="12.75">
      <c r="B18" s="297" t="s">
        <v>4</v>
      </c>
      <c r="C18" s="294" t="s">
        <v>276</v>
      </c>
      <c r="D18" s="295">
        <v>8820</v>
      </c>
      <c r="E18" s="295">
        <v>10406</v>
      </c>
      <c r="F18" s="298">
        <f t="shared" si="0"/>
        <v>-47945</v>
      </c>
    </row>
    <row r="19" spans="2:6" ht="12.75">
      <c r="B19" s="297" t="s">
        <v>5</v>
      </c>
      <c r="C19" s="294" t="s">
        <v>277</v>
      </c>
      <c r="D19" s="295">
        <v>10176</v>
      </c>
      <c r="E19" s="295">
        <v>489</v>
      </c>
      <c r="F19" s="298">
        <f t="shared" si="0"/>
        <v>-38258</v>
      </c>
    </row>
    <row r="20" spans="2:6" ht="12.75">
      <c r="B20" s="297" t="s">
        <v>6</v>
      </c>
      <c r="C20" s="294" t="s">
        <v>278</v>
      </c>
      <c r="D20" s="295">
        <v>5984</v>
      </c>
      <c r="E20" s="295">
        <v>4041</v>
      </c>
      <c r="F20" s="298">
        <f t="shared" si="0"/>
        <v>-36315</v>
      </c>
    </row>
    <row r="21" spans="2:6" ht="12.75">
      <c r="B21" s="297" t="s">
        <v>7</v>
      </c>
      <c r="C21" s="294" t="s">
        <v>279</v>
      </c>
      <c r="D21" s="295">
        <v>6872</v>
      </c>
      <c r="E21" s="295">
        <v>6914</v>
      </c>
      <c r="F21" s="298">
        <f t="shared" si="0"/>
        <v>-36357</v>
      </c>
    </row>
    <row r="22" spans="2:6" ht="12.75">
      <c r="B22" s="297" t="s">
        <v>8</v>
      </c>
      <c r="C22" s="294" t="s">
        <v>280</v>
      </c>
      <c r="D22" s="295">
        <v>4963</v>
      </c>
      <c r="E22" s="295">
        <v>21313</v>
      </c>
      <c r="F22" s="298">
        <f t="shared" si="0"/>
        <v>-52707</v>
      </c>
    </row>
    <row r="23" spans="2:6" ht="12.75">
      <c r="B23" s="297" t="s">
        <v>226</v>
      </c>
      <c r="C23" s="294" t="s">
        <v>281</v>
      </c>
      <c r="D23" s="295">
        <v>1848</v>
      </c>
      <c r="E23" s="295">
        <v>558</v>
      </c>
      <c r="F23" s="298">
        <f t="shared" si="0"/>
        <v>-51417</v>
      </c>
    </row>
    <row r="24" spans="2:6" ht="12.75">
      <c r="B24" s="297" t="s">
        <v>227</v>
      </c>
      <c r="C24" s="294" t="s">
        <v>282</v>
      </c>
      <c r="D24" s="295">
        <v>3013</v>
      </c>
      <c r="E24" s="295">
        <v>0</v>
      </c>
      <c r="F24" s="298">
        <f t="shared" si="0"/>
        <v>-48404</v>
      </c>
    </row>
    <row r="25" spans="2:6" ht="12.75">
      <c r="B25" s="297" t="s">
        <v>228</v>
      </c>
      <c r="C25" s="294" t="s">
        <v>283</v>
      </c>
      <c r="D25" s="295">
        <v>2994</v>
      </c>
      <c r="E25" s="295">
        <v>0</v>
      </c>
      <c r="F25" s="298">
        <f t="shared" si="0"/>
        <v>-45410</v>
      </c>
    </row>
    <row r="26" spans="2:6" ht="12.75">
      <c r="B26" s="297" t="s">
        <v>229</v>
      </c>
      <c r="C26" s="294" t="s">
        <v>284</v>
      </c>
      <c r="D26" s="295">
        <v>3000</v>
      </c>
      <c r="E26" s="295">
        <v>0</v>
      </c>
      <c r="F26" s="298">
        <f t="shared" si="0"/>
        <v>-42410</v>
      </c>
    </row>
    <row r="27" spans="2:6" ht="12.75">
      <c r="B27" s="297" t="s">
        <v>230</v>
      </c>
      <c r="C27" s="294" t="s">
        <v>285</v>
      </c>
      <c r="D27" s="295">
        <v>2543</v>
      </c>
      <c r="E27" s="295">
        <v>693</v>
      </c>
      <c r="F27" s="298">
        <f t="shared" si="0"/>
        <v>-40560</v>
      </c>
    </row>
    <row r="32" spans="2:6" ht="12.75">
      <c r="B32" s="293"/>
      <c r="C32" s="309" t="s">
        <v>526</v>
      </c>
      <c r="D32" s="309"/>
      <c r="E32" s="309"/>
      <c r="F32" s="309"/>
    </row>
    <row r="33" spans="2:6" ht="12.75">
      <c r="B33" s="293"/>
      <c r="C33" s="293"/>
      <c r="D33" s="296" t="s">
        <v>289</v>
      </c>
      <c r="E33" s="296" t="s">
        <v>288</v>
      </c>
      <c r="F33" s="296" t="s">
        <v>524</v>
      </c>
    </row>
    <row r="34" spans="2:6" ht="12.75">
      <c r="B34" s="293"/>
      <c r="C34" s="293"/>
      <c r="D34" s="296" t="s">
        <v>523</v>
      </c>
      <c r="E34" s="296" t="s">
        <v>523</v>
      </c>
      <c r="F34" s="296" t="s">
        <v>523</v>
      </c>
    </row>
    <row r="35" spans="2:6" ht="12.75">
      <c r="B35" s="297" t="s">
        <v>471</v>
      </c>
      <c r="C35" s="294" t="s">
        <v>266</v>
      </c>
      <c r="D35" s="295">
        <v>1429</v>
      </c>
      <c r="E35" s="295">
        <v>547</v>
      </c>
      <c r="F35" s="298">
        <f>D35-E35</f>
        <v>882</v>
      </c>
    </row>
    <row r="36" spans="2:6" ht="12.75">
      <c r="B36" s="297" t="s">
        <v>171</v>
      </c>
      <c r="C36" s="294" t="s">
        <v>265</v>
      </c>
      <c r="D36" s="295">
        <v>1716</v>
      </c>
      <c r="E36" s="295">
        <v>1462</v>
      </c>
      <c r="F36" s="298">
        <f>F35+D36-E36</f>
        <v>1136</v>
      </c>
    </row>
    <row r="37" spans="2:6" ht="12.75">
      <c r="B37" s="297" t="s">
        <v>172</v>
      </c>
      <c r="C37" s="294" t="s">
        <v>267</v>
      </c>
      <c r="D37" s="295">
        <v>10238</v>
      </c>
      <c r="E37" s="295">
        <v>18103</v>
      </c>
      <c r="F37" s="298">
        <f aca="true" t="shared" si="1" ref="F37:F55">F36+D37-E37</f>
        <v>-6729</v>
      </c>
    </row>
    <row r="38" spans="2:6" ht="12.75">
      <c r="B38" s="297" t="s">
        <v>173</v>
      </c>
      <c r="C38" s="294" t="s">
        <v>268</v>
      </c>
      <c r="D38" s="295">
        <v>11820</v>
      </c>
      <c r="E38" s="295">
        <v>20739</v>
      </c>
      <c r="F38" s="298">
        <f t="shared" si="1"/>
        <v>-15648</v>
      </c>
    </row>
    <row r="39" spans="2:6" ht="12.75">
      <c r="B39" s="297" t="s">
        <v>174</v>
      </c>
      <c r="C39" s="294" t="s">
        <v>269</v>
      </c>
      <c r="D39" s="295">
        <v>11441</v>
      </c>
      <c r="E39" s="295">
        <v>22481</v>
      </c>
      <c r="F39" s="298">
        <f t="shared" si="1"/>
        <v>-26688</v>
      </c>
    </row>
    <row r="40" spans="2:6" ht="12.75">
      <c r="B40" s="297" t="s">
        <v>175</v>
      </c>
      <c r="C40" s="294" t="s">
        <v>270</v>
      </c>
      <c r="D40" s="295">
        <v>11033</v>
      </c>
      <c r="E40" s="295">
        <v>20277</v>
      </c>
      <c r="F40" s="298">
        <f t="shared" si="1"/>
        <v>-35932</v>
      </c>
    </row>
    <row r="41" spans="2:6" ht="12.75">
      <c r="B41" s="297" t="s">
        <v>176</v>
      </c>
      <c r="C41" s="294" t="s">
        <v>271</v>
      </c>
      <c r="D41" s="295">
        <v>12018</v>
      </c>
      <c r="E41" s="295">
        <v>17077</v>
      </c>
      <c r="F41" s="298">
        <f t="shared" si="1"/>
        <v>-40991</v>
      </c>
    </row>
    <row r="42" spans="2:6" ht="12.75">
      <c r="B42" s="297" t="s">
        <v>0</v>
      </c>
      <c r="C42" s="294" t="s">
        <v>272</v>
      </c>
      <c r="D42" s="295">
        <v>12931</v>
      </c>
      <c r="E42" s="295">
        <v>12805</v>
      </c>
      <c r="F42" s="298">
        <f t="shared" si="1"/>
        <v>-40865</v>
      </c>
    </row>
    <row r="43" spans="2:6" ht="12.75">
      <c r="B43" s="297" t="s">
        <v>1</v>
      </c>
      <c r="C43" s="294" t="s">
        <v>273</v>
      </c>
      <c r="D43" s="295">
        <v>12481</v>
      </c>
      <c r="E43" s="295">
        <v>15543</v>
      </c>
      <c r="F43" s="298">
        <f t="shared" si="1"/>
        <v>-43927</v>
      </c>
    </row>
    <row r="44" spans="2:6" ht="12.75">
      <c r="B44" s="297" t="s">
        <v>2</v>
      </c>
      <c r="C44" s="294" t="s">
        <v>274</v>
      </c>
      <c r="D44" s="295">
        <v>14908</v>
      </c>
      <c r="E44" s="295">
        <v>11190</v>
      </c>
      <c r="F44" s="298">
        <f t="shared" si="1"/>
        <v>-40209</v>
      </c>
    </row>
    <row r="45" spans="2:6" ht="12.75">
      <c r="B45" s="297" t="s">
        <v>3</v>
      </c>
      <c r="C45" s="294" t="s">
        <v>275</v>
      </c>
      <c r="D45" s="295">
        <v>11317</v>
      </c>
      <c r="E45" s="295">
        <v>16740</v>
      </c>
      <c r="F45" s="298">
        <f t="shared" si="1"/>
        <v>-45632</v>
      </c>
    </row>
    <row r="46" spans="2:6" ht="12.75">
      <c r="B46" s="297" t="s">
        <v>4</v>
      </c>
      <c r="C46" s="294" t="s">
        <v>276</v>
      </c>
      <c r="D46" s="295">
        <v>8141</v>
      </c>
      <c r="E46" s="295">
        <v>11044</v>
      </c>
      <c r="F46" s="298">
        <f t="shared" si="1"/>
        <v>-48535</v>
      </c>
    </row>
    <row r="47" spans="2:6" ht="12.75">
      <c r="B47" s="297" t="s">
        <v>5</v>
      </c>
      <c r="C47" s="294" t="s">
        <v>277</v>
      </c>
      <c r="D47" s="295">
        <v>7828</v>
      </c>
      <c r="E47" s="295">
        <v>6783</v>
      </c>
      <c r="F47" s="298">
        <f t="shared" si="1"/>
        <v>-47490</v>
      </c>
    </row>
    <row r="48" spans="2:6" ht="12.75">
      <c r="B48" s="297" t="s">
        <v>6</v>
      </c>
      <c r="C48" s="294" t="s">
        <v>278</v>
      </c>
      <c r="D48" s="295">
        <v>10358</v>
      </c>
      <c r="E48" s="295">
        <v>5188</v>
      </c>
      <c r="F48" s="298">
        <f t="shared" si="1"/>
        <v>-42320</v>
      </c>
    </row>
    <row r="49" spans="2:6" ht="12.75">
      <c r="B49" s="297" t="s">
        <v>7</v>
      </c>
      <c r="C49" s="294" t="s">
        <v>279</v>
      </c>
      <c r="D49" s="295">
        <v>5027</v>
      </c>
      <c r="E49" s="295">
        <v>2861</v>
      </c>
      <c r="F49" s="298">
        <f t="shared" si="1"/>
        <v>-40154</v>
      </c>
    </row>
    <row r="50" spans="2:6" ht="12.75">
      <c r="B50" s="297" t="s">
        <v>8</v>
      </c>
      <c r="C50" s="294" t="s">
        <v>280</v>
      </c>
      <c r="D50" s="295">
        <v>2413</v>
      </c>
      <c r="E50" s="295">
        <v>15830</v>
      </c>
      <c r="F50" s="298">
        <f t="shared" si="1"/>
        <v>-53571</v>
      </c>
    </row>
    <row r="51" spans="2:6" ht="12.75">
      <c r="B51" s="297" t="s">
        <v>226</v>
      </c>
      <c r="C51" s="294" t="s">
        <v>281</v>
      </c>
      <c r="D51" s="295">
        <v>210</v>
      </c>
      <c r="E51" s="295">
        <v>1317</v>
      </c>
      <c r="F51" s="298">
        <f t="shared" si="1"/>
        <v>-54678</v>
      </c>
    </row>
    <row r="52" spans="2:6" ht="12.75">
      <c r="B52" s="297" t="s">
        <v>227</v>
      </c>
      <c r="C52" s="294" t="s">
        <v>282</v>
      </c>
      <c r="D52" s="295">
        <v>598</v>
      </c>
      <c r="E52" s="295">
        <v>1309</v>
      </c>
      <c r="F52" s="298">
        <f t="shared" si="1"/>
        <v>-55389</v>
      </c>
    </row>
    <row r="53" spans="2:6" ht="12.75">
      <c r="B53" s="297" t="s">
        <v>228</v>
      </c>
      <c r="C53" s="294" t="s">
        <v>283</v>
      </c>
      <c r="D53" s="295">
        <v>553</v>
      </c>
      <c r="E53" s="295">
        <v>621</v>
      </c>
      <c r="F53" s="298">
        <f t="shared" si="1"/>
        <v>-55457</v>
      </c>
    </row>
    <row r="54" spans="2:6" ht="12.75">
      <c r="B54" s="297" t="s">
        <v>229</v>
      </c>
      <c r="C54" s="294" t="s">
        <v>284</v>
      </c>
      <c r="D54" s="295">
        <v>530</v>
      </c>
      <c r="E54" s="295">
        <v>3121</v>
      </c>
      <c r="F54" s="298">
        <f t="shared" si="1"/>
        <v>-58048</v>
      </c>
    </row>
    <row r="55" spans="2:6" ht="12.75">
      <c r="B55" s="297" t="s">
        <v>230</v>
      </c>
      <c r="C55" s="294" t="s">
        <v>285</v>
      </c>
      <c r="D55" s="295">
        <v>587</v>
      </c>
      <c r="E55" s="295">
        <v>3399</v>
      </c>
      <c r="F55" s="298">
        <f t="shared" si="1"/>
        <v>-60860</v>
      </c>
    </row>
  </sheetData>
  <sheetProtection/>
  <mergeCells count="2">
    <mergeCell ref="C4:F4"/>
    <mergeCell ref="C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1">
      <selection activeCell="H3" sqref="H3:I3"/>
    </sheetView>
  </sheetViews>
  <sheetFormatPr defaultColWidth="9.33203125" defaultRowHeight="12.75"/>
  <cols>
    <col min="1" max="1" width="12.83203125" style="252" customWidth="1"/>
    <col min="2" max="2" width="22" style="252" bestFit="1" customWidth="1"/>
    <col min="3" max="3" width="17" style="254" customWidth="1"/>
    <col min="4" max="6" width="12.83203125" style="254" customWidth="1"/>
    <col min="7" max="9" width="12.83203125" style="208" customWidth="1"/>
    <col min="10" max="13" width="15.83203125" style="208" customWidth="1"/>
    <col min="14" max="16384" width="9.33203125" style="208" customWidth="1"/>
  </cols>
  <sheetData>
    <row r="2" spans="7:9" ht="11.25">
      <c r="G2" s="252"/>
      <c r="H2" s="252"/>
      <c r="I2" s="252"/>
    </row>
    <row r="3" spans="4:9" ht="11.25">
      <c r="D3" s="300" t="s">
        <v>517</v>
      </c>
      <c r="E3" s="300"/>
      <c r="F3" s="301">
        <v>0.025</v>
      </c>
      <c r="G3" s="301"/>
      <c r="H3" s="302">
        <v>0.037</v>
      </c>
      <c r="I3" s="302"/>
    </row>
    <row r="4" spans="1:9" ht="23.25">
      <c r="A4" s="257" t="s">
        <v>500</v>
      </c>
      <c r="B4" s="257" t="s">
        <v>501</v>
      </c>
      <c r="C4" s="258" t="s">
        <v>502</v>
      </c>
      <c r="D4" s="258" t="s">
        <v>503</v>
      </c>
      <c r="E4" s="258" t="s">
        <v>504</v>
      </c>
      <c r="F4" s="259" t="s">
        <v>505</v>
      </c>
      <c r="G4" s="258" t="s">
        <v>504</v>
      </c>
      <c r="H4" s="259" t="s">
        <v>505</v>
      </c>
      <c r="I4" s="258" t="s">
        <v>504</v>
      </c>
    </row>
    <row r="5" spans="1:9" ht="11.25">
      <c r="A5" s="261">
        <v>43195</v>
      </c>
      <c r="B5" s="251" t="s">
        <v>490</v>
      </c>
      <c r="C5" s="253">
        <v>12927210110</v>
      </c>
      <c r="D5" s="255">
        <v>0.00435</v>
      </c>
      <c r="E5" s="253">
        <f>C5*D5</f>
        <v>56233363.97849999</v>
      </c>
      <c r="F5" s="255">
        <f aca="true" t="shared" si="0" ref="F5:F14">ROUND(D5*(1+$F$3),6)</f>
        <v>0.004459</v>
      </c>
      <c r="G5" s="254">
        <f>C5*F5</f>
        <v>57642429.880490005</v>
      </c>
      <c r="H5" s="267">
        <f aca="true" t="shared" si="1" ref="H5:H14">ROUND(D5*(1+$H$3),6)</f>
        <v>0.004511</v>
      </c>
      <c r="I5" s="254">
        <f>H5*C5</f>
        <v>58314644.806210004</v>
      </c>
    </row>
    <row r="6" spans="1:9" ht="11.25">
      <c r="A6" s="261">
        <v>1901</v>
      </c>
      <c r="B6" s="251" t="s">
        <v>491</v>
      </c>
      <c r="C6" s="253">
        <v>406097875</v>
      </c>
      <c r="D6" s="255">
        <v>0.00435</v>
      </c>
      <c r="E6" s="253">
        <f aca="true" t="shared" si="2" ref="E6:E14">C6*D6</f>
        <v>1766525.7562499999</v>
      </c>
      <c r="F6" s="255">
        <f t="shared" si="0"/>
        <v>0.004459</v>
      </c>
      <c r="G6" s="254">
        <f aca="true" t="shared" si="3" ref="G6:G14">C6*F6</f>
        <v>1810790.4246250002</v>
      </c>
      <c r="H6" s="267">
        <f t="shared" si="1"/>
        <v>0.004511</v>
      </c>
      <c r="I6" s="254">
        <f aca="true" t="shared" si="4" ref="I6:I14">H6*C6</f>
        <v>1831907.514125</v>
      </c>
    </row>
    <row r="7" spans="1:9" ht="11.25">
      <c r="A7" s="261">
        <v>2143</v>
      </c>
      <c r="B7" s="251" t="s">
        <v>492</v>
      </c>
      <c r="C7" s="253">
        <v>1567741215</v>
      </c>
      <c r="D7" s="255">
        <v>0.01076</v>
      </c>
      <c r="E7" s="253">
        <f t="shared" si="2"/>
        <v>16868895.4734</v>
      </c>
      <c r="F7" s="255">
        <f t="shared" si="0"/>
        <v>0.011029</v>
      </c>
      <c r="G7" s="254">
        <f t="shared" si="3"/>
        <v>17290617.860235002</v>
      </c>
      <c r="H7" s="267">
        <f t="shared" si="1"/>
        <v>0.011158</v>
      </c>
      <c r="I7" s="254">
        <f t="shared" si="4"/>
        <v>17492856.47697</v>
      </c>
    </row>
    <row r="8" spans="1:9" ht="11.25">
      <c r="A8" s="261">
        <v>54</v>
      </c>
      <c r="B8" s="251" t="s">
        <v>493</v>
      </c>
      <c r="C8" s="253">
        <v>25003500</v>
      </c>
      <c r="D8" s="255">
        <v>0.01076</v>
      </c>
      <c r="E8" s="253">
        <f t="shared" si="2"/>
        <v>269037.66000000003</v>
      </c>
      <c r="F8" s="255">
        <f t="shared" si="0"/>
        <v>0.011029</v>
      </c>
      <c r="G8" s="254">
        <f t="shared" si="3"/>
        <v>275763.6015</v>
      </c>
      <c r="H8" s="267">
        <f t="shared" si="1"/>
        <v>0.011158</v>
      </c>
      <c r="I8" s="254">
        <f t="shared" si="4"/>
        <v>278989.053</v>
      </c>
    </row>
    <row r="9" spans="1:9" ht="11.25">
      <c r="A9" s="261">
        <v>1136</v>
      </c>
      <c r="B9" s="251" t="s">
        <v>494</v>
      </c>
      <c r="C9" s="253">
        <v>648162350</v>
      </c>
      <c r="D9" s="255">
        <v>0.01118</v>
      </c>
      <c r="E9" s="253">
        <f t="shared" si="2"/>
        <v>7246455.073000001</v>
      </c>
      <c r="F9" s="255">
        <f t="shared" si="0"/>
        <v>0.01146</v>
      </c>
      <c r="G9" s="254">
        <f t="shared" si="3"/>
        <v>7427940.5309999995</v>
      </c>
      <c r="H9" s="267">
        <f t="shared" si="1"/>
        <v>0.011594</v>
      </c>
      <c r="I9" s="254">
        <f t="shared" si="4"/>
        <v>7514794.2859000005</v>
      </c>
    </row>
    <row r="10" spans="1:9" ht="11.25">
      <c r="A10" s="261">
        <v>344</v>
      </c>
      <c r="B10" s="251" t="s">
        <v>495</v>
      </c>
      <c r="C10" s="253">
        <v>79976000</v>
      </c>
      <c r="D10" s="255">
        <v>0.01118</v>
      </c>
      <c r="E10" s="253">
        <f t="shared" si="2"/>
        <v>894131.68</v>
      </c>
      <c r="F10" s="255">
        <f t="shared" si="0"/>
        <v>0.01146</v>
      </c>
      <c r="G10" s="254">
        <f t="shared" si="3"/>
        <v>916524.96</v>
      </c>
      <c r="H10" s="267">
        <f t="shared" si="1"/>
        <v>0.011594</v>
      </c>
      <c r="I10" s="254">
        <f t="shared" si="4"/>
        <v>927241.7440000001</v>
      </c>
    </row>
    <row r="11" spans="1:9" ht="11.25">
      <c r="A11" s="261">
        <v>789</v>
      </c>
      <c r="B11" s="251" t="s">
        <v>496</v>
      </c>
      <c r="C11" s="253">
        <v>530577500</v>
      </c>
      <c r="D11" s="255">
        <v>0.003045</v>
      </c>
      <c r="E11" s="253">
        <f t="shared" si="2"/>
        <v>1615608.4875</v>
      </c>
      <c r="F11" s="255">
        <f t="shared" si="0"/>
        <v>0.003121</v>
      </c>
      <c r="G11" s="254">
        <f t="shared" si="3"/>
        <v>1655932.3775</v>
      </c>
      <c r="H11" s="267">
        <f t="shared" si="1"/>
        <v>0.003158</v>
      </c>
      <c r="I11" s="254">
        <f t="shared" si="4"/>
        <v>1675563.745</v>
      </c>
    </row>
    <row r="12" spans="1:9" ht="11.25">
      <c r="A12" s="261">
        <v>62</v>
      </c>
      <c r="B12" s="251" t="s">
        <v>497</v>
      </c>
      <c r="C12" s="253">
        <v>62347430</v>
      </c>
      <c r="D12" s="255">
        <v>0.003045</v>
      </c>
      <c r="E12" s="253">
        <f t="shared" si="2"/>
        <v>189847.92435</v>
      </c>
      <c r="F12" s="255">
        <f t="shared" si="0"/>
        <v>0.003121</v>
      </c>
      <c r="G12" s="254">
        <f t="shared" si="3"/>
        <v>194586.32903</v>
      </c>
      <c r="H12" s="267">
        <f t="shared" si="1"/>
        <v>0.003158</v>
      </c>
      <c r="I12" s="254">
        <f t="shared" si="4"/>
        <v>196893.18394000002</v>
      </c>
    </row>
    <row r="13" spans="1:9" ht="11.25">
      <c r="A13" s="261">
        <v>6</v>
      </c>
      <c r="B13" s="251" t="s">
        <v>498</v>
      </c>
      <c r="C13" s="253">
        <v>17887770</v>
      </c>
      <c r="D13" s="255">
        <v>0.01118</v>
      </c>
      <c r="E13" s="253">
        <f t="shared" si="2"/>
        <v>199985.2686</v>
      </c>
      <c r="F13" s="255">
        <f t="shared" si="0"/>
        <v>0.01146</v>
      </c>
      <c r="G13" s="254">
        <f t="shared" si="3"/>
        <v>204993.8442</v>
      </c>
      <c r="H13" s="267">
        <f t="shared" si="1"/>
        <v>0.011594</v>
      </c>
      <c r="I13" s="254">
        <f t="shared" si="4"/>
        <v>207390.80538</v>
      </c>
    </row>
    <row r="14" spans="1:9" ht="11.25">
      <c r="A14" s="261">
        <v>611</v>
      </c>
      <c r="B14" s="251" t="s">
        <v>499</v>
      </c>
      <c r="C14" s="253">
        <v>268505250</v>
      </c>
      <c r="D14" s="255">
        <v>0.003914</v>
      </c>
      <c r="E14" s="253">
        <f t="shared" si="2"/>
        <v>1050929.5485</v>
      </c>
      <c r="F14" s="255">
        <f t="shared" si="0"/>
        <v>0.004012</v>
      </c>
      <c r="G14" s="254">
        <f t="shared" si="3"/>
        <v>1077243.063</v>
      </c>
      <c r="H14" s="267">
        <f t="shared" si="1"/>
        <v>0.004059</v>
      </c>
      <c r="I14" s="254">
        <f t="shared" si="4"/>
        <v>1089862.80975</v>
      </c>
    </row>
    <row r="15" spans="7:9" ht="11.25">
      <c r="G15" s="252"/>
      <c r="H15" s="252"/>
      <c r="I15" s="252"/>
    </row>
    <row r="16" spans="1:10" ht="11.25">
      <c r="A16" s="262">
        <f>SUM(A5:A15)</f>
        <v>50241</v>
      </c>
      <c r="E16" s="256">
        <f>SUM(E5:E15)</f>
        <v>86334780.8501</v>
      </c>
      <c r="F16" s="256"/>
      <c r="G16" s="256">
        <f>SUM(G5:G15)</f>
        <v>88496822.87158</v>
      </c>
      <c r="H16" s="252"/>
      <c r="I16" s="256">
        <f>SUM(I5:I15)</f>
        <v>89530144.42427501</v>
      </c>
      <c r="J16" s="260">
        <f>I16-G16</f>
        <v>1033321.5526950061</v>
      </c>
    </row>
    <row r="17" spans="1:9" ht="11.25">
      <c r="A17" s="262"/>
      <c r="E17" s="256"/>
      <c r="F17" s="256"/>
      <c r="G17" s="256"/>
      <c r="H17" s="252"/>
      <c r="I17" s="256"/>
    </row>
    <row r="18" spans="3:11" ht="11.25">
      <c r="C18" s="254" t="s">
        <v>506</v>
      </c>
      <c r="E18" s="256">
        <f>E16/A16</f>
        <v>1718.4128669831412</v>
      </c>
      <c r="G18" s="264">
        <f>G16/A16</f>
        <v>1761.4462863314823</v>
      </c>
      <c r="H18" s="252"/>
      <c r="I18" s="256">
        <f>I16/A16</f>
        <v>1782.013583015366</v>
      </c>
      <c r="K18" s="263">
        <f>(I18-G18)/G18</f>
        <v>0.011676368926763452</v>
      </c>
    </row>
    <row r="19" spans="8:9" ht="11.25">
      <c r="H19" s="252"/>
      <c r="I19" s="252"/>
    </row>
    <row r="20" spans="5:12" ht="11.25">
      <c r="E20" s="299" t="s">
        <v>516</v>
      </c>
      <c r="F20" s="299"/>
      <c r="G20" s="268">
        <f>(G18-E18)/E18</f>
        <v>0.02504253789945772</v>
      </c>
      <c r="H20" s="252"/>
      <c r="I20" s="252"/>
      <c r="L20" s="209">
        <f>G16*0.01</f>
        <v>884968.2287158001</v>
      </c>
    </row>
    <row r="21" spans="8:9" ht="11.25">
      <c r="H21" s="271" t="s">
        <v>513</v>
      </c>
      <c r="I21" s="209">
        <f>ROUND(I16*0.01,0)</f>
        <v>895301</v>
      </c>
    </row>
    <row r="23" spans="9:11" ht="11.25">
      <c r="I23" s="272">
        <f>I16+I21</f>
        <v>90425445.42427501</v>
      </c>
      <c r="J23" s="208">
        <v>89381790.87158</v>
      </c>
      <c r="K23" s="260">
        <f>I23-J23</f>
        <v>1043654.5526950061</v>
      </c>
    </row>
    <row r="24" spans="7:9" ht="11.25">
      <c r="G24" s="252"/>
      <c r="H24" s="252"/>
      <c r="I24" s="252"/>
    </row>
    <row r="25" spans="7:9" ht="11.25">
      <c r="G25" s="252"/>
      <c r="H25" s="252"/>
      <c r="I25" s="252"/>
    </row>
    <row r="26" spans="7:12" ht="11.25">
      <c r="G26" s="252"/>
      <c r="H26" s="252"/>
      <c r="I26" s="252"/>
      <c r="L26" s="260">
        <f>G16+L20</f>
        <v>89381791.10029581</v>
      </c>
    </row>
    <row r="27" spans="7:9" ht="11.25">
      <c r="G27" s="252"/>
      <c r="H27" s="252"/>
      <c r="I27" s="252"/>
    </row>
    <row r="28" spans="4:9" ht="11.25">
      <c r="D28" s="256" t="s">
        <v>488</v>
      </c>
      <c r="G28" s="254">
        <v>448000</v>
      </c>
      <c r="H28" s="265">
        <v>0.0053</v>
      </c>
      <c r="I28" s="252"/>
    </row>
    <row r="29" spans="4:9" ht="11.25">
      <c r="D29" s="256" t="s">
        <v>489</v>
      </c>
      <c r="G29" s="254">
        <v>585000</v>
      </c>
      <c r="H29" s="265">
        <v>0.0067</v>
      </c>
      <c r="I29" s="252"/>
    </row>
    <row r="30" spans="7:9" ht="11.25">
      <c r="G30" s="254"/>
      <c r="H30" s="252"/>
      <c r="I30" s="252"/>
    </row>
    <row r="31" spans="7:9" ht="11.25">
      <c r="G31" s="256">
        <v>1033000</v>
      </c>
      <c r="H31" s="266">
        <f>SUM(H28:H30)</f>
        <v>0.012</v>
      </c>
      <c r="I31" s="252"/>
    </row>
    <row r="32" spans="7:9" ht="11.25">
      <c r="G32" s="252"/>
      <c r="H32" s="252"/>
      <c r="I32" s="252"/>
    </row>
    <row r="33" spans="7:9" ht="11.25">
      <c r="G33" s="252"/>
      <c r="H33" s="252"/>
      <c r="I33" s="252"/>
    </row>
    <row r="34" spans="7:9" ht="11.25">
      <c r="G34" s="252"/>
      <c r="H34" s="266">
        <v>0.012</v>
      </c>
      <c r="I34" s="252"/>
    </row>
    <row r="35" spans="7:9" ht="11.25">
      <c r="G35" s="252"/>
      <c r="H35" s="252"/>
      <c r="I35" s="252"/>
    </row>
    <row r="46" spans="4:7" ht="11.25">
      <c r="D46" s="254" t="s">
        <v>514</v>
      </c>
      <c r="F46" s="254">
        <v>424395</v>
      </c>
      <c r="G46" s="208">
        <f>F46/90</f>
        <v>4715.5</v>
      </c>
    </row>
    <row r="47" ht="11.25">
      <c r="G47" s="208">
        <v>4750</v>
      </c>
    </row>
    <row r="49" ht="11.25">
      <c r="G49" s="208">
        <f>G47*90</f>
        <v>427500</v>
      </c>
    </row>
  </sheetData>
  <sheetProtection/>
  <mergeCells count="4">
    <mergeCell ref="E20:F20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pane ySplit="3" topLeftCell="A14" activePane="bottomLeft" state="frozen"/>
      <selection pane="topLeft" activeCell="A1" sqref="A1"/>
      <selection pane="bottomLeft" activeCell="A1" sqref="A1:IV16384"/>
    </sheetView>
  </sheetViews>
  <sheetFormatPr defaultColWidth="15.83203125" defaultRowHeight="12.75"/>
  <cols>
    <col min="1" max="1" width="10.16015625" style="33" bestFit="1" customWidth="1"/>
    <col min="2" max="2" width="9.16015625" style="33" customWidth="1"/>
    <col min="3" max="4" width="10.83203125" style="33" customWidth="1"/>
    <col min="5" max="9" width="12.83203125" style="33" customWidth="1"/>
    <col min="10" max="10" width="12.83203125" style="35" hidden="1" customWidth="1"/>
    <col min="11" max="11" width="11.83203125" style="36" hidden="1" customWidth="1"/>
    <col min="12" max="16" width="11.83203125" style="33" hidden="1" customWidth="1"/>
    <col min="17" max="17" width="3" style="33" customWidth="1"/>
    <col min="18" max="18" width="12.83203125" style="33" hidden="1" customWidth="1"/>
    <col min="19" max="24" width="8.83203125" style="33" customWidth="1"/>
    <col min="25" max="16384" width="15.83203125" style="33" customWidth="1"/>
  </cols>
  <sheetData>
    <row r="1" spans="1:16" ht="22.5">
      <c r="A1" s="304" t="s">
        <v>243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3" spans="1:18" ht="38.25">
      <c r="A3" s="303" t="s">
        <v>165</v>
      </c>
      <c r="B3" s="303"/>
      <c r="C3" s="48" t="s">
        <v>209</v>
      </c>
      <c r="D3" s="48" t="s">
        <v>192</v>
      </c>
      <c r="E3" s="49" t="s">
        <v>199</v>
      </c>
      <c r="F3" s="49" t="s">
        <v>198</v>
      </c>
      <c r="G3" s="49" t="s">
        <v>200</v>
      </c>
      <c r="H3" s="49" t="s">
        <v>201</v>
      </c>
      <c r="I3" s="49" t="s">
        <v>202</v>
      </c>
      <c r="J3" s="50" t="s">
        <v>210</v>
      </c>
      <c r="K3" s="51" t="s">
        <v>196</v>
      </c>
      <c r="L3" s="48" t="s">
        <v>38</v>
      </c>
      <c r="M3" s="48" t="s">
        <v>193</v>
      </c>
      <c r="N3" s="48" t="s">
        <v>194</v>
      </c>
      <c r="O3" s="48" t="s">
        <v>208</v>
      </c>
      <c r="P3" s="48" t="s">
        <v>214</v>
      </c>
      <c r="R3" s="33" t="s">
        <v>233</v>
      </c>
    </row>
    <row r="4" spans="1:16" ht="12.75">
      <c r="A4" s="48"/>
      <c r="B4" s="52" t="s">
        <v>128</v>
      </c>
      <c r="C4" s="53">
        <v>0.019</v>
      </c>
      <c r="D4" s="54">
        <v>0</v>
      </c>
      <c r="E4" s="55" t="str">
        <f>Risk!B13</f>
        <v>Low</v>
      </c>
      <c r="F4" s="55" t="str">
        <f>Risk!B14</f>
        <v>Low</v>
      </c>
      <c r="G4" s="55" t="str">
        <f>Risk!B15</f>
        <v>High</v>
      </c>
      <c r="H4" s="55" t="str">
        <f>Risk!B16</f>
        <v>Medium</v>
      </c>
      <c r="I4" s="55" t="str">
        <f>Risk!B17</f>
        <v>High</v>
      </c>
      <c r="J4" s="56">
        <v>4984.17</v>
      </c>
      <c r="K4" s="57">
        <v>8285</v>
      </c>
      <c r="L4" s="58">
        <v>8873</v>
      </c>
      <c r="M4" s="58">
        <v>4364.884615384615</v>
      </c>
      <c r="N4" s="59">
        <v>1.9080717488789238</v>
      </c>
      <c r="O4" s="58">
        <v>26873</v>
      </c>
      <c r="P4" s="60">
        <v>4508.115384615385</v>
      </c>
    </row>
    <row r="5" spans="1:16" ht="12.75">
      <c r="A5" s="48"/>
      <c r="B5" s="52" t="s">
        <v>129</v>
      </c>
      <c r="C5" s="53">
        <v>0.05</v>
      </c>
      <c r="D5" s="54">
        <v>-0.2</v>
      </c>
      <c r="E5" s="55" t="str">
        <f>Risk!C13</f>
        <v>Medium</v>
      </c>
      <c r="F5" s="55" t="str">
        <f>Risk!C14</f>
        <v>Low</v>
      </c>
      <c r="G5" s="55" t="str">
        <f>Risk!C15</f>
        <v>Medium</v>
      </c>
      <c r="H5" s="55" t="str">
        <f>Risk!C16</f>
        <v>Medium</v>
      </c>
      <c r="I5" s="55" t="str">
        <f>Risk!C17</f>
        <v>High</v>
      </c>
      <c r="J5" s="56">
        <v>4213.313</v>
      </c>
      <c r="K5" s="57">
        <v>2407</v>
      </c>
      <c r="L5" s="58">
        <v>13570</v>
      </c>
      <c r="M5" s="58">
        <v>5432.538461538461</v>
      </c>
      <c r="N5" s="59">
        <v>2.244630541871921</v>
      </c>
      <c r="O5" s="58">
        <v>29018</v>
      </c>
      <c r="P5" s="60">
        <v>6379.846153846153</v>
      </c>
    </row>
    <row r="6" spans="1:16" ht="12.75">
      <c r="A6" s="48"/>
      <c r="B6" s="52" t="s">
        <v>130</v>
      </c>
      <c r="C6" s="53">
        <v>0.036</v>
      </c>
      <c r="D6" s="54">
        <v>0.014</v>
      </c>
      <c r="E6" s="55" t="str">
        <f>Risk!D13</f>
        <v>Medium</v>
      </c>
      <c r="F6" s="55" t="str">
        <f>Risk!D14</f>
        <v>Medium</v>
      </c>
      <c r="G6" s="55" t="str">
        <f>Risk!D15</f>
        <v>Medium</v>
      </c>
      <c r="H6" s="55" t="str">
        <f>Risk!D16</f>
        <v>High</v>
      </c>
      <c r="I6" s="55" t="str">
        <f>Risk!D17</f>
        <v>High</v>
      </c>
      <c r="J6" s="56">
        <v>3915.42</v>
      </c>
      <c r="K6" s="57">
        <v>-2525</v>
      </c>
      <c r="L6" s="58">
        <v>11349</v>
      </c>
      <c r="M6" s="58">
        <v>4969.153846153847</v>
      </c>
      <c r="N6" s="59">
        <v>1.248202614379085</v>
      </c>
      <c r="O6" s="58">
        <v>31620</v>
      </c>
      <c r="P6" s="60">
        <v>5571.961538461539</v>
      </c>
    </row>
    <row r="7" spans="1:16" ht="12.75">
      <c r="A7" s="48"/>
      <c r="B7" s="52" t="s">
        <v>131</v>
      </c>
      <c r="C7" s="53">
        <v>0.004</v>
      </c>
      <c r="D7" s="54">
        <v>0.0288</v>
      </c>
      <c r="E7" s="55" t="str">
        <f>Risk!E13</f>
        <v>Medium</v>
      </c>
      <c r="F7" s="55" t="str">
        <f>Risk!E14</f>
        <v>Medium</v>
      </c>
      <c r="G7" s="55" t="str">
        <f>Risk!E15</f>
        <v>Medium</v>
      </c>
      <c r="H7" s="55" t="str">
        <f>Risk!E16</f>
        <v>Low</v>
      </c>
      <c r="I7" s="55" t="str">
        <f>Risk!E17</f>
        <v>High</v>
      </c>
      <c r="J7" s="56">
        <v>-14073.916999999998</v>
      </c>
      <c r="K7" s="57">
        <v>-2865</v>
      </c>
      <c r="L7" s="58">
        <v>15882</v>
      </c>
      <c r="M7" s="58">
        <v>5342.653846153847</v>
      </c>
      <c r="N7" s="59">
        <v>1.2018582156039201</v>
      </c>
      <c r="O7" s="58">
        <v>29132</v>
      </c>
      <c r="P7" s="60">
        <v>5571.961538461539</v>
      </c>
    </row>
    <row r="8" spans="1:16" ht="12.75">
      <c r="A8" s="48"/>
      <c r="B8" s="52" t="s">
        <v>132</v>
      </c>
      <c r="C8" s="53">
        <v>0.008</v>
      </c>
      <c r="D8" s="54">
        <v>0.075</v>
      </c>
      <c r="E8" s="55" t="str">
        <f>Risk!F13</f>
        <v>Medium</v>
      </c>
      <c r="F8" s="55" t="str">
        <f>Risk!F14</f>
        <v>Low</v>
      </c>
      <c r="G8" s="55" t="str">
        <f>Risk!F15</f>
        <v>Medium</v>
      </c>
      <c r="H8" s="55" t="str">
        <f>Risk!F16</f>
        <v>Low</v>
      </c>
      <c r="I8" s="55" t="str">
        <f>Risk!F17</f>
        <v>High</v>
      </c>
      <c r="J8" s="56">
        <v>-12937.805999999997</v>
      </c>
      <c r="K8" s="57">
        <v>-589</v>
      </c>
      <c r="L8" s="58">
        <v>15334</v>
      </c>
      <c r="M8" s="58">
        <v>5619</v>
      </c>
      <c r="N8" s="59">
        <v>1.960992236318879</v>
      </c>
      <c r="O8" s="58">
        <v>23870</v>
      </c>
      <c r="P8" s="60">
        <v>5571.961538461539</v>
      </c>
    </row>
    <row r="9" spans="1:16" ht="12.75">
      <c r="A9" s="48"/>
      <c r="B9" s="52" t="s">
        <v>126</v>
      </c>
      <c r="C9" s="53">
        <v>0.013</v>
      </c>
      <c r="D9" s="54">
        <v>0.07</v>
      </c>
      <c r="E9" s="55" t="str">
        <f>Risk!G13</f>
        <v>Medium</v>
      </c>
      <c r="F9" s="55" t="str">
        <f>Risk!G14</f>
        <v>Low</v>
      </c>
      <c r="G9" s="55" t="str">
        <f>Risk!G15</f>
        <v>Medium</v>
      </c>
      <c r="H9" s="55" t="str">
        <f>Risk!G16</f>
        <v>Low</v>
      </c>
      <c r="I9" s="55" t="str">
        <f>Risk!G17</f>
        <v>High</v>
      </c>
      <c r="J9" s="56">
        <v>-9297.203999999998</v>
      </c>
      <c r="K9" s="57">
        <v>-38136</v>
      </c>
      <c r="L9" s="58">
        <v>15352</v>
      </c>
      <c r="M9" s="58">
        <v>6640.846153846154</v>
      </c>
      <c r="N9" s="59">
        <v>1.718919376693767</v>
      </c>
      <c r="O9" s="58">
        <v>20688</v>
      </c>
      <c r="P9" s="60">
        <v>5571.961538461539</v>
      </c>
    </row>
    <row r="10" spans="1:16" ht="12.75">
      <c r="A10" s="48"/>
      <c r="B10" s="52" t="s">
        <v>106</v>
      </c>
      <c r="C10" s="53">
        <v>0.039</v>
      </c>
      <c r="D10" s="54">
        <v>0.065</v>
      </c>
      <c r="E10" s="55" t="str">
        <f>Risk!H13</f>
        <v>High</v>
      </c>
      <c r="F10" s="55" t="str">
        <f>Risk!H14</f>
        <v>Medium</v>
      </c>
      <c r="G10" s="55" t="str">
        <f>Risk!H15</f>
        <v>Low</v>
      </c>
      <c r="H10" s="55" t="str">
        <f>Risk!H16</f>
        <v>Low</v>
      </c>
      <c r="I10" s="55" t="str">
        <f>Risk!H17</f>
        <v>Medium</v>
      </c>
      <c r="J10" s="56">
        <v>-7412.226999999999</v>
      </c>
      <c r="K10" s="57">
        <v>3797</v>
      </c>
      <c r="L10" s="58">
        <v>14750</v>
      </c>
      <c r="M10" s="58">
        <v>9178.038461538461</v>
      </c>
      <c r="N10" s="59">
        <v>1.4859410275706368</v>
      </c>
      <c r="O10" s="58">
        <v>18462</v>
      </c>
      <c r="P10" s="60">
        <v>5571.961538461539</v>
      </c>
    </row>
    <row r="11" spans="1:16" ht="12.75">
      <c r="A11" s="48"/>
      <c r="B11" s="52" t="s">
        <v>105</v>
      </c>
      <c r="C11" s="53">
        <v>0.076</v>
      </c>
      <c r="D11" s="54">
        <v>0.03</v>
      </c>
      <c r="E11" s="55" t="str">
        <f>Risk!I13</f>
        <v>High</v>
      </c>
      <c r="F11" s="55" t="str">
        <f>Risk!I14</f>
        <v>Low</v>
      </c>
      <c r="G11" s="55" t="str">
        <f>Risk!I15</f>
        <v>Low</v>
      </c>
      <c r="H11" s="55" t="str">
        <f>Risk!I16</f>
        <v>Low</v>
      </c>
      <c r="I11" s="55" t="str">
        <f>Risk!I17</f>
        <v>Medium</v>
      </c>
      <c r="J11" s="56">
        <v>-10323.628999999997</v>
      </c>
      <c r="K11" s="57">
        <v>2615</v>
      </c>
      <c r="L11" s="58">
        <v>20880</v>
      </c>
      <c r="M11" s="58">
        <v>9462.346153846154</v>
      </c>
      <c r="N11" s="59">
        <v>1.6828320802005012</v>
      </c>
      <c r="O11" s="58">
        <v>18035</v>
      </c>
      <c r="P11" s="60">
        <v>8526.307692307693</v>
      </c>
    </row>
    <row r="12" spans="1:16" ht="12.75">
      <c r="A12" s="48"/>
      <c r="B12" s="52" t="s">
        <v>107</v>
      </c>
      <c r="C12" s="53">
        <v>0.038</v>
      </c>
      <c r="D12" s="54">
        <v>0.06</v>
      </c>
      <c r="E12" s="55" t="str">
        <f>Risk!J13</f>
        <v>High</v>
      </c>
      <c r="F12" s="55" t="str">
        <f>Risk!J14</f>
        <v>Medium</v>
      </c>
      <c r="G12" s="55" t="str">
        <f>Risk!J15</f>
        <v>Low</v>
      </c>
      <c r="H12" s="55" t="str">
        <f>Risk!J16</f>
        <v>Low</v>
      </c>
      <c r="I12" s="55" t="str">
        <f>Risk!J17</f>
        <v>Medium</v>
      </c>
      <c r="J12" s="56">
        <v>-227.66399999999703</v>
      </c>
      <c r="K12" s="57">
        <v>2400</v>
      </c>
      <c r="L12" s="58">
        <v>19714</v>
      </c>
      <c r="M12" s="58">
        <v>11187.692307692307</v>
      </c>
      <c r="N12" s="59">
        <v>1.3569949561985666</v>
      </c>
      <c r="O12" s="58">
        <v>19933</v>
      </c>
      <c r="P12" s="60">
        <v>8526.307692307693</v>
      </c>
    </row>
    <row r="13" spans="1:16" ht="12.75">
      <c r="A13" s="48"/>
      <c r="B13" s="52" t="s">
        <v>108</v>
      </c>
      <c r="C13" s="53">
        <v>0.03</v>
      </c>
      <c r="D13" s="54">
        <v>0.065</v>
      </c>
      <c r="E13" s="55" t="str">
        <f>Risk!K13</f>
        <v>Medium</v>
      </c>
      <c r="F13" s="55" t="str">
        <f>Risk!K14</f>
        <v>Low</v>
      </c>
      <c r="G13" s="55" t="str">
        <f>Risk!K15</f>
        <v>Low</v>
      </c>
      <c r="H13" s="55" t="str">
        <f>Risk!K16</f>
        <v>Low</v>
      </c>
      <c r="I13" s="55" t="str">
        <f>Risk!K17</f>
        <v>Low</v>
      </c>
      <c r="J13" s="56">
        <v>12980.54</v>
      </c>
      <c r="K13" s="57">
        <v>24862</v>
      </c>
      <c r="L13" s="58">
        <v>25010</v>
      </c>
      <c r="M13" s="58">
        <v>11937.115384615385</v>
      </c>
      <c r="N13" s="59">
        <v>1.8036742192284139</v>
      </c>
      <c r="O13" s="58">
        <v>19120</v>
      </c>
      <c r="P13" s="60">
        <v>11973.461538461539</v>
      </c>
    </row>
    <row r="14" spans="1:16" ht="12.75">
      <c r="A14" s="48"/>
      <c r="B14" s="52" t="s">
        <v>109</v>
      </c>
      <c r="C14" s="53">
        <v>0.024</v>
      </c>
      <c r="D14" s="54">
        <v>0.03</v>
      </c>
      <c r="E14" s="55" t="str">
        <f>Risk!L13</f>
        <v>Medium</v>
      </c>
      <c r="F14" s="55" t="str">
        <f>Risk!L14</f>
        <v>Low</v>
      </c>
      <c r="G14" s="55" t="str">
        <f>Risk!L15</f>
        <v>Low</v>
      </c>
      <c r="H14" s="55" t="str">
        <f>Risk!L16</f>
        <v>Low</v>
      </c>
      <c r="I14" s="55" t="str">
        <f>Risk!L17</f>
        <v>Low</v>
      </c>
      <c r="J14" s="56">
        <v>-8713.494999999999</v>
      </c>
      <c r="K14" s="57">
        <v>8667</v>
      </c>
      <c r="L14" s="58">
        <v>24085</v>
      </c>
      <c r="M14" s="58">
        <v>11961.807692307693</v>
      </c>
      <c r="N14" s="59">
        <v>1.6392991520188689</v>
      </c>
      <c r="O14" s="58">
        <v>17903</v>
      </c>
      <c r="P14" s="60">
        <v>5076.384615384613</v>
      </c>
    </row>
    <row r="15" spans="1:16" ht="12.75">
      <c r="A15" s="48"/>
      <c r="B15" s="52" t="s">
        <v>110</v>
      </c>
      <c r="C15" s="53">
        <v>0.024</v>
      </c>
      <c r="D15" s="54">
        <v>0.055</v>
      </c>
      <c r="E15" s="55" t="str">
        <f>Risk!M13</f>
        <v>High</v>
      </c>
      <c r="F15" s="55" t="str">
        <f>Risk!M14</f>
        <v>Low</v>
      </c>
      <c r="G15" s="55" t="str">
        <f>Risk!M15</f>
        <v>Low</v>
      </c>
      <c r="H15" s="55" t="str">
        <f>Risk!M16</f>
        <v>Low</v>
      </c>
      <c r="I15" s="55" t="str">
        <f>Risk!M17</f>
        <v>Medium</v>
      </c>
      <c r="J15" s="56">
        <v>-10554.005999999998</v>
      </c>
      <c r="K15" s="57">
        <v>-544</v>
      </c>
      <c r="L15" s="58">
        <v>24102</v>
      </c>
      <c r="M15" s="58">
        <v>12128.538461538461</v>
      </c>
      <c r="N15" s="59">
        <v>1.626844130853111</v>
      </c>
      <c r="O15" s="58">
        <v>16998</v>
      </c>
      <c r="P15" s="60">
        <v>5076.384615384613</v>
      </c>
    </row>
    <row r="16" spans="1:16" ht="12.75">
      <c r="A16" s="48"/>
      <c r="B16" s="52" t="s">
        <v>111</v>
      </c>
      <c r="C16" s="53">
        <v>0.035</v>
      </c>
      <c r="D16" s="54">
        <v>0.075</v>
      </c>
      <c r="E16" s="55" t="str">
        <f>Risk!N13</f>
        <v>Medium</v>
      </c>
      <c r="F16" s="55" t="str">
        <f>Risk!N14</f>
        <v>Low</v>
      </c>
      <c r="G16" s="55" t="str">
        <f>Risk!N15</f>
        <v>Low</v>
      </c>
      <c r="H16" s="55" t="str">
        <f>Risk!N16</f>
        <v>Low</v>
      </c>
      <c r="I16" s="55" t="str">
        <f>Risk!N17</f>
        <v>Medium</v>
      </c>
      <c r="J16" s="56">
        <v>-9102.443</v>
      </c>
      <c r="K16" s="57">
        <v>10555</v>
      </c>
      <c r="L16" s="58">
        <v>31100</v>
      </c>
      <c r="M16" s="58">
        <v>11968.384615384615</v>
      </c>
      <c r="N16" s="59">
        <v>2.0564156697161624</v>
      </c>
      <c r="O16" s="58">
        <v>16998</v>
      </c>
      <c r="P16" s="60">
        <v>5076.384615384613</v>
      </c>
    </row>
    <row r="17" spans="1:16" ht="12.75">
      <c r="A17" s="48"/>
      <c r="B17" s="52" t="s">
        <v>112</v>
      </c>
      <c r="C17" s="53">
        <v>0.0275</v>
      </c>
      <c r="D17" s="54">
        <v>0.075</v>
      </c>
      <c r="E17" s="55" t="str">
        <f>Risk!O13</f>
        <v>Low</v>
      </c>
      <c r="F17" s="55" t="str">
        <f>Risk!O14</f>
        <v>Low</v>
      </c>
      <c r="G17" s="55" t="str">
        <f>Risk!O15</f>
        <v>Low</v>
      </c>
      <c r="H17" s="55" t="str">
        <f>Risk!O16</f>
        <v>Low</v>
      </c>
      <c r="I17" s="55" t="str">
        <f>Risk!O17</f>
        <v>Low</v>
      </c>
      <c r="J17" s="56">
        <v>-3754.9459999999963</v>
      </c>
      <c r="K17" s="57">
        <v>17331</v>
      </c>
      <c r="L17" s="58">
        <v>36781</v>
      </c>
      <c r="M17" s="58">
        <v>13175.538461538463</v>
      </c>
      <c r="N17" s="59">
        <v>1.9850554099416011</v>
      </c>
      <c r="O17" s="58">
        <v>14195</v>
      </c>
      <c r="P17" s="60">
        <v>4930.78556899996</v>
      </c>
    </row>
    <row r="18" spans="1:16" ht="12.75">
      <c r="A18" s="48"/>
      <c r="B18" s="52" t="s">
        <v>113</v>
      </c>
      <c r="C18" s="53">
        <v>0.041</v>
      </c>
      <c r="D18" s="54">
        <v>0.055</v>
      </c>
      <c r="E18" s="55" t="str">
        <f>Risk!P13</f>
        <v>Low</v>
      </c>
      <c r="F18" s="55" t="str">
        <f>Risk!P14</f>
        <v>Low</v>
      </c>
      <c r="G18" s="55" t="str">
        <f>Risk!P15</f>
        <v>Low</v>
      </c>
      <c r="H18" s="55" t="str">
        <f>Risk!P16</f>
        <v>Low</v>
      </c>
      <c r="I18" s="55" t="str">
        <f>Risk!P17</f>
        <v>Medium</v>
      </c>
      <c r="J18" s="56" t="e">
        <f>Summary!#REF!</f>
        <v>#REF!</v>
      </c>
      <c r="K18" s="57">
        <f>'Operating Statement'!P41</f>
        <v>27756</v>
      </c>
      <c r="L18" s="58">
        <f>'Operating Statement'!P60</f>
        <v>46935</v>
      </c>
      <c r="M18" s="58">
        <f>'Operating Statement'!P76</f>
        <v>0</v>
      </c>
      <c r="N18" s="59" t="e">
        <f>Summary!#REF!</f>
        <v>#REF!</v>
      </c>
      <c r="O18" s="58">
        <f>'Balance Sheet'!P52</f>
        <v>13195</v>
      </c>
      <c r="P18" s="60" t="e">
        <f>'Operating Statement'!#REF!</f>
        <v>#REF!</v>
      </c>
    </row>
    <row r="19" spans="1:16" ht="12.75">
      <c r="A19" s="48"/>
      <c r="B19" s="52" t="s">
        <v>114</v>
      </c>
      <c r="C19" s="61">
        <v>0.029</v>
      </c>
      <c r="D19" s="62">
        <v>0.04</v>
      </c>
      <c r="E19" s="55" t="str">
        <f>Risk!Q13</f>
        <v>Low</v>
      </c>
      <c r="F19" s="55" t="str">
        <f>Risk!Q14</f>
        <v>Low</v>
      </c>
      <c r="G19" s="55" t="str">
        <f>Risk!Q15</f>
        <v>Low</v>
      </c>
      <c r="H19" s="55" t="str">
        <f>Risk!Q16</f>
        <v>Low</v>
      </c>
      <c r="I19" s="55" t="str">
        <f>Risk!Q17</f>
        <v>Low</v>
      </c>
      <c r="J19" s="56" t="e">
        <f>Summary!#REF!</f>
        <v>#REF!</v>
      </c>
      <c r="K19" s="57">
        <f>'Operating Statement'!Q41</f>
        <v>25016</v>
      </c>
      <c r="L19" s="58">
        <f>'Operating Statement'!Q60</f>
        <v>40745</v>
      </c>
      <c r="M19" s="58">
        <f>'Operating Statement'!Q76</f>
        <v>0</v>
      </c>
      <c r="N19" s="59" t="e">
        <f>'Operating Statement'!#REF!</f>
        <v>#REF!</v>
      </c>
      <c r="O19" s="58">
        <f>'Balance Sheet'!Q52</f>
        <v>12195</v>
      </c>
      <c r="P19" s="60" t="e">
        <f>'Operating Statement'!#REF!</f>
        <v>#REF!</v>
      </c>
    </row>
    <row r="20" spans="1:16" ht="12.75">
      <c r="A20" s="63"/>
      <c r="B20" s="52" t="s">
        <v>117</v>
      </c>
      <c r="C20" s="61">
        <v>0.03</v>
      </c>
      <c r="D20" s="62">
        <v>0.04</v>
      </c>
      <c r="E20" s="55" t="str">
        <f>Risk!R13</f>
        <v>Medium</v>
      </c>
      <c r="F20" s="55" t="str">
        <f>Risk!R13</f>
        <v>Medium</v>
      </c>
      <c r="G20" s="55" t="str">
        <f>Risk!R15</f>
        <v>Low</v>
      </c>
      <c r="H20" s="55" t="str">
        <f>Risk!R16</f>
        <v>Low</v>
      </c>
      <c r="I20" s="55" t="str">
        <f>Risk!R17</f>
        <v>Low</v>
      </c>
      <c r="J20" s="56" t="e">
        <f>Summary!#REF!</f>
        <v>#REF!</v>
      </c>
      <c r="K20" s="57">
        <f>'Operating Statement'!R41</f>
        <v>19040</v>
      </c>
      <c r="L20" s="58">
        <f>'Operating Statement'!R60</f>
        <v>43964</v>
      </c>
      <c r="M20" s="58">
        <f>'Operating Statement'!R76</f>
        <v>0</v>
      </c>
      <c r="N20" s="59" t="e">
        <f>'Operating Statement'!#REF!</f>
        <v>#REF!</v>
      </c>
      <c r="O20" s="58">
        <f>'Balance Sheet'!R52</f>
        <v>11194</v>
      </c>
      <c r="P20" s="60" t="e">
        <f>'Operating Statement'!#REF!</f>
        <v>#REF!</v>
      </c>
    </row>
    <row r="21" spans="1:16" ht="12.75" customHeight="1">
      <c r="A21" s="48"/>
      <c r="B21" s="52" t="s">
        <v>118</v>
      </c>
      <c r="C21" s="62">
        <v>0.033</v>
      </c>
      <c r="D21" s="62">
        <v>0.035</v>
      </c>
      <c r="E21" s="55" t="str">
        <f>Risk!S13</f>
        <v>Medium</v>
      </c>
      <c r="F21" s="55" t="str">
        <f>Risk!S13</f>
        <v>Medium</v>
      </c>
      <c r="G21" s="55" t="str">
        <f>Risk!S14</f>
        <v>Low</v>
      </c>
      <c r="H21" s="55" t="str">
        <f>Risk!S15</f>
        <v>Low</v>
      </c>
      <c r="I21" s="55" t="str">
        <f>Risk!S16</f>
        <v>Low</v>
      </c>
      <c r="J21" s="56" t="e">
        <f>Summary!#REF!</f>
        <v>#REF!</v>
      </c>
      <c r="K21" s="57">
        <f>'Operating Statement'!T41</f>
        <v>32593</v>
      </c>
      <c r="L21" s="58">
        <f>'Operating Statement'!T60</f>
        <v>29748</v>
      </c>
      <c r="M21" s="58">
        <f>'Operating Statement'!T76</f>
        <v>0</v>
      </c>
      <c r="N21" s="59" t="e">
        <f>'Operating Statement'!#REF!</f>
        <v>#REF!</v>
      </c>
      <c r="O21" s="58">
        <f>'Balance Sheet'!T52</f>
        <v>9238</v>
      </c>
      <c r="P21" s="60" t="e">
        <f>'Operating Statement'!#REF!</f>
        <v>#REF!</v>
      </c>
    </row>
    <row r="22" spans="1:18" ht="12.75">
      <c r="A22" s="48"/>
      <c r="B22" s="52" t="s">
        <v>127</v>
      </c>
      <c r="C22" s="62">
        <v>0.031</v>
      </c>
      <c r="D22" s="62">
        <v>0.04</v>
      </c>
      <c r="E22" s="55" t="str">
        <f>Risk!T13</f>
        <v>Low</v>
      </c>
      <c r="F22" s="55" t="str">
        <f>Risk!T14</f>
        <v>Low</v>
      </c>
      <c r="G22" s="55" t="str">
        <f>Risk!T15</f>
        <v>Low</v>
      </c>
      <c r="H22" s="55" t="str">
        <f>Risk!T16</f>
        <v>Low</v>
      </c>
      <c r="I22" s="55" t="str">
        <f>Risk!T17</f>
        <v>Low</v>
      </c>
      <c r="J22" s="56" t="e">
        <f>Summary!#REF!</f>
        <v>#REF!</v>
      </c>
      <c r="K22" s="57">
        <f>'Operating Statement'!V41</f>
        <v>47711</v>
      </c>
      <c r="L22" s="60">
        <f>'Operating Statement'!V60</f>
        <v>50126</v>
      </c>
      <c r="M22" s="58">
        <f>'Operating Statement'!V76</f>
        <v>0</v>
      </c>
      <c r="N22" s="59" t="e">
        <f>'Operating Statement'!#REF!</f>
        <v>#REF!</v>
      </c>
      <c r="O22" s="58">
        <f>'Balance Sheet'!V52</f>
        <v>33147</v>
      </c>
      <c r="P22" s="60" t="e">
        <f>'Operating Statement'!#REF!</f>
        <v>#REF!</v>
      </c>
      <c r="R22" s="34">
        <v>0</v>
      </c>
    </row>
    <row r="23" spans="1:18" ht="12.75">
      <c r="A23" s="68"/>
      <c r="B23" s="66" t="s">
        <v>145</v>
      </c>
      <c r="C23" s="62">
        <v>0.0205</v>
      </c>
      <c r="D23" s="62">
        <v>0.075</v>
      </c>
      <c r="E23" s="55" t="str">
        <f>Risk!$U13</f>
        <v>Medium</v>
      </c>
      <c r="F23" s="55" t="str">
        <f>Risk!$U14</f>
        <v>Low</v>
      </c>
      <c r="G23" s="55" t="str">
        <f>Risk!$U15</f>
        <v>Low</v>
      </c>
      <c r="H23" s="55" t="str">
        <f>Risk!$U16</f>
        <v>Low</v>
      </c>
      <c r="I23" s="55" t="str">
        <f>Risk!$U17</f>
        <v>Low</v>
      </c>
      <c r="J23" s="56"/>
      <c r="K23" s="57"/>
      <c r="L23" s="60"/>
      <c r="M23" s="58"/>
      <c r="N23" s="59"/>
      <c r="O23" s="58"/>
      <c r="P23" s="60"/>
      <c r="R23" s="34"/>
    </row>
    <row r="24" spans="1:18" ht="12.75">
      <c r="A24" s="75" t="s">
        <v>167</v>
      </c>
      <c r="B24" s="76" t="s">
        <v>146</v>
      </c>
      <c r="C24" s="77">
        <v>0.03</v>
      </c>
      <c r="D24" s="77">
        <v>0.055</v>
      </c>
      <c r="E24" s="55" t="str">
        <f>Risk!V13</f>
        <v>Low</v>
      </c>
      <c r="F24" s="55" t="str">
        <f>Risk!V14</f>
        <v>Low</v>
      </c>
      <c r="G24" s="55" t="str">
        <f>Risk!V15</f>
        <v>Low</v>
      </c>
      <c r="H24" s="55" t="str">
        <f>Risk!V16</f>
        <v>Low</v>
      </c>
      <c r="I24" s="55" t="str">
        <f>Risk!V17</f>
        <v>Low</v>
      </c>
      <c r="J24" s="56" t="e">
        <f>Summary!#REF!</f>
        <v>#REF!</v>
      </c>
      <c r="K24" s="57">
        <f>'Operating Statement'!X41</f>
        <v>25965</v>
      </c>
      <c r="L24" s="60">
        <f>'Operating Statement'!X60</f>
        <v>23042.815</v>
      </c>
      <c r="M24" s="58">
        <f>'Operating Statement'!X76</f>
        <v>19792.518477395835</v>
      </c>
      <c r="N24" s="59" t="e">
        <f>'Operating Statement'!#REF!</f>
        <v>#REF!</v>
      </c>
      <c r="O24" s="58">
        <f>'Balance Sheet'!X52</f>
        <v>48147</v>
      </c>
      <c r="P24" s="60" t="e">
        <f>'Operating Statement'!#REF!</f>
        <v>#REF!</v>
      </c>
      <c r="R24" s="34">
        <v>0</v>
      </c>
    </row>
    <row r="25" spans="1:18" ht="12.75">
      <c r="A25" s="67">
        <v>1</v>
      </c>
      <c r="B25" s="52" t="s">
        <v>147</v>
      </c>
      <c r="C25" s="64">
        <v>0.03</v>
      </c>
      <c r="D25" s="64">
        <v>0.06</v>
      </c>
      <c r="E25" s="55" t="str">
        <f>Risk!W13</f>
        <v>Medium</v>
      </c>
      <c r="F25" s="55" t="str">
        <f>Risk!W14</f>
        <v>Medium</v>
      </c>
      <c r="G25" s="55" t="str">
        <f>Risk!W15</f>
        <v>Low</v>
      </c>
      <c r="H25" s="55" t="str">
        <f>Risk!W16</f>
        <v>Low</v>
      </c>
      <c r="I25" s="55" t="str">
        <f>Risk!W17</f>
        <v>Low</v>
      </c>
      <c r="J25" s="56" t="e">
        <f>Summary!#REF!</f>
        <v>#REF!</v>
      </c>
      <c r="K25" s="57">
        <f>'Operating Statement'!Y41</f>
        <v>27965.160271250003</v>
      </c>
      <c r="L25" s="60">
        <f>'Operating Statement'!Y60</f>
        <v>20684.042683238466</v>
      </c>
      <c r="M25" s="58">
        <f>'Operating Statement'!Y76</f>
        <v>20657.20961960732</v>
      </c>
      <c r="N25" s="59" t="e">
        <f>'Operating Statement'!#REF!</f>
        <v>#REF!</v>
      </c>
      <c r="O25" s="58">
        <f>'Balance Sheet'!Y52</f>
        <v>51146.974846988465</v>
      </c>
      <c r="P25" s="60" t="e">
        <f>'Operating Statement'!#REF!</f>
        <v>#REF!</v>
      </c>
      <c r="R25" s="34">
        <v>0</v>
      </c>
    </row>
    <row r="26" spans="1:18" ht="12.75">
      <c r="A26" s="67">
        <v>2</v>
      </c>
      <c r="B26" s="52" t="s">
        <v>148</v>
      </c>
      <c r="C26" s="64">
        <v>0.03</v>
      </c>
      <c r="D26" s="64">
        <v>0.055</v>
      </c>
      <c r="E26" s="55" t="str">
        <f>Risk!X13</f>
        <v>Low</v>
      </c>
      <c r="F26" s="55" t="str">
        <f>Risk!X14</f>
        <v>Medium</v>
      </c>
      <c r="G26" s="55" t="str">
        <f>Risk!X15</f>
        <v>Low</v>
      </c>
      <c r="H26" s="55" t="str">
        <f>Risk!X16</f>
        <v>Low</v>
      </c>
      <c r="I26" s="55" t="str">
        <f>Risk!X17</f>
        <v>Low</v>
      </c>
      <c r="J26" s="56" t="e">
        <f>Summary!#REF!</f>
        <v>#REF!</v>
      </c>
      <c r="K26" s="57">
        <f>'Operating Statement'!Z41</f>
        <v>27809.122176712088</v>
      </c>
      <c r="L26" s="60">
        <f>'Operating Statement'!Z60</f>
        <v>21107.588989446336</v>
      </c>
      <c r="M26" s="58">
        <f>'Operating Statement'!Z76</f>
        <v>21254.775225253095</v>
      </c>
      <c r="N26" s="59" t="e">
        <f>'Operating Statement'!#REF!</f>
        <v>#REF!</v>
      </c>
      <c r="O26" s="58">
        <f>'Balance Sheet'!Z52</f>
        <v>59147.15125066925</v>
      </c>
      <c r="P26" s="60" t="e">
        <f>'Operating Statement'!#REF!</f>
        <v>#REF!</v>
      </c>
      <c r="R26" s="34">
        <v>0</v>
      </c>
    </row>
    <row r="27" spans="1:18" ht="12.75">
      <c r="A27" s="67">
        <v>3</v>
      </c>
      <c r="B27" s="52" t="s">
        <v>149</v>
      </c>
      <c r="C27" s="64">
        <v>0.03</v>
      </c>
      <c r="D27" s="64">
        <v>0.055</v>
      </c>
      <c r="E27" s="55" t="str">
        <f>Risk!Y13</f>
        <v>Low</v>
      </c>
      <c r="F27" s="55" t="str">
        <f>Risk!Y14</f>
        <v>Medium</v>
      </c>
      <c r="G27" s="55" t="str">
        <f>Risk!Y15</f>
        <v>Low</v>
      </c>
      <c r="H27" s="55" t="str">
        <f>Risk!Y16</f>
        <v>Low</v>
      </c>
      <c r="I27" s="55" t="str">
        <f>Risk!Y17</f>
        <v>Low</v>
      </c>
      <c r="J27" s="56" t="e">
        <f>Summary!#REF!</f>
        <v>#REF!</v>
      </c>
      <c r="K27" s="57">
        <f>'Operating Statement'!AA41</f>
        <v>27259.92552452482</v>
      </c>
      <c r="L27" s="60">
        <f>'Operating Statement'!AA60</f>
        <v>21855.180320947922</v>
      </c>
      <c r="M27" s="58">
        <f>'Operating Statement'!AA76</f>
        <v>21790.146976984688</v>
      </c>
      <c r="N27" s="59" t="e">
        <f>'Operating Statement'!#REF!</f>
        <v>#REF!</v>
      </c>
      <c r="O27" s="58">
        <f>'Balance Sheet'!AA52</f>
        <v>66147.51644021444</v>
      </c>
      <c r="P27" s="60" t="e">
        <f>'Operating Statement'!#REF!</f>
        <v>#REF!</v>
      </c>
      <c r="R27" s="34">
        <v>0</v>
      </c>
    </row>
    <row r="28" spans="1:18" ht="12.75">
      <c r="A28" s="67">
        <v>4</v>
      </c>
      <c r="B28" s="52" t="s">
        <v>150</v>
      </c>
      <c r="C28" s="64">
        <v>0.03</v>
      </c>
      <c r="D28" s="64">
        <v>0.055</v>
      </c>
      <c r="E28" s="55" t="str">
        <f>Risk!Z13</f>
        <v>Low</v>
      </c>
      <c r="F28" s="55" t="str">
        <f>Risk!Z14</f>
        <v>Medium</v>
      </c>
      <c r="G28" s="55" t="str">
        <f>Risk!Z15</f>
        <v>Low</v>
      </c>
      <c r="H28" s="55" t="str">
        <f>Risk!Z16</f>
        <v>Low</v>
      </c>
      <c r="I28" s="55" t="str">
        <f>Risk!Z17</f>
        <v>Low</v>
      </c>
      <c r="J28" s="56" t="e">
        <f>Summary!#REF!</f>
        <v>#REF!</v>
      </c>
      <c r="K28" s="57">
        <f>'Operating Statement'!AB41</f>
        <v>28264.57303641812</v>
      </c>
      <c r="L28" s="60">
        <f>'Operating Statement'!AB60</f>
        <v>22478.1953063275</v>
      </c>
      <c r="M28" s="58">
        <f>'Operating Statement'!AB76</f>
        <v>22241.89714479364</v>
      </c>
      <c r="N28" s="59" t="e">
        <f>'Operating Statement'!#REF!</f>
        <v>#REF!</v>
      </c>
      <c r="O28" s="58">
        <f>'Balance Sheet'!AB52</f>
        <v>69147.60697235132</v>
      </c>
      <c r="P28" s="60" t="e">
        <f>'Operating Statement'!#REF!</f>
        <v>#REF!</v>
      </c>
      <c r="R28" s="34">
        <v>0</v>
      </c>
    </row>
    <row r="29" spans="1:18" ht="12.75">
      <c r="A29" s="67">
        <v>5</v>
      </c>
      <c r="B29" s="52" t="s">
        <v>151</v>
      </c>
      <c r="C29" s="64">
        <v>0.03</v>
      </c>
      <c r="D29" s="64">
        <v>0.055</v>
      </c>
      <c r="E29" s="55" t="str">
        <f>Risk!AA13</f>
        <v>Low</v>
      </c>
      <c r="F29" s="55" t="str">
        <f>Risk!AA14</f>
        <v>Medium</v>
      </c>
      <c r="G29" s="55" t="str">
        <f>Risk!AA15</f>
        <v>Low</v>
      </c>
      <c r="H29" s="55" t="str">
        <f>Risk!AA16</f>
        <v>Low</v>
      </c>
      <c r="I29" s="55" t="str">
        <f>Risk!AA17</f>
        <v>Low</v>
      </c>
      <c r="J29" s="56" t="e">
        <f>Summary!#REF!</f>
        <v>#REF!</v>
      </c>
      <c r="K29" s="57">
        <f>'Operating Statement'!AC41</f>
        <v>29552.13833801952</v>
      </c>
      <c r="L29" s="60">
        <f>'Operating Statement'!AC60</f>
        <v>25327.57393890466</v>
      </c>
      <c r="M29" s="58">
        <f>'Operating Statement'!AC76</f>
        <v>23285.0824991518</v>
      </c>
      <c r="N29" s="59" t="e">
        <f>'Operating Statement'!#REF!</f>
        <v>#REF!</v>
      </c>
      <c r="O29" s="58">
        <f>'Balance Sheet'!AC52</f>
        <v>69147.26376120615</v>
      </c>
      <c r="P29" s="60" t="e">
        <f>'Operating Statement'!#REF!</f>
        <v>#REF!</v>
      </c>
      <c r="R29" s="34">
        <v>0</v>
      </c>
    </row>
    <row r="30" spans="1:18" ht="12.75">
      <c r="A30" s="67">
        <v>6</v>
      </c>
      <c r="B30" s="52" t="s">
        <v>152</v>
      </c>
      <c r="C30" s="64">
        <v>0.03</v>
      </c>
      <c r="D30" s="64">
        <v>0.055</v>
      </c>
      <c r="E30" s="65" t="str">
        <f>Risk!AB13</f>
        <v>Medium</v>
      </c>
      <c r="F30" s="65" t="str">
        <f>Risk!AB14</f>
        <v>Medium</v>
      </c>
      <c r="G30" s="55" t="str">
        <f>Risk!AB15</f>
        <v>Low</v>
      </c>
      <c r="H30" s="55" t="str">
        <f>Risk!AB16</f>
        <v>Low</v>
      </c>
      <c r="I30" s="55" t="str">
        <f>Risk!AB17</f>
        <v>Low</v>
      </c>
      <c r="J30" s="56" t="e">
        <f>Summary!#REF!</f>
        <v>#REF!</v>
      </c>
      <c r="K30" s="57">
        <f>'Operating Statement'!AD41</f>
        <v>29758.677280378586</v>
      </c>
      <c r="L30" s="60">
        <f>'Operating Statement'!AD60</f>
        <v>25235.720309133805</v>
      </c>
      <c r="M30" s="58">
        <f>'Operating Statement'!AD76</f>
        <v>23783.205524049932</v>
      </c>
      <c r="N30" s="59" t="e">
        <f>'Operating Statement'!#REF!</f>
        <v>#REF!</v>
      </c>
      <c r="O30" s="58">
        <f>'Balance Sheet'!AD52</f>
        <v>69147.46609327811</v>
      </c>
      <c r="P30" s="60" t="e">
        <f>'Operating Statement'!#REF!</f>
        <v>#REF!</v>
      </c>
      <c r="R30" s="34">
        <v>0</v>
      </c>
    </row>
    <row r="31" spans="1:18" ht="12.75">
      <c r="A31" s="67">
        <v>7</v>
      </c>
      <c r="B31" s="52" t="s">
        <v>153</v>
      </c>
      <c r="C31" s="64">
        <v>0.03</v>
      </c>
      <c r="D31" s="64">
        <v>0.055</v>
      </c>
      <c r="E31" s="55" t="str">
        <f>Risk!AC$13</f>
        <v>Medium</v>
      </c>
      <c r="F31" s="55" t="str">
        <f>Risk!AC$14</f>
        <v>Medium</v>
      </c>
      <c r="G31" s="55" t="str">
        <f>Risk!AC$15</f>
        <v>Low</v>
      </c>
      <c r="H31" s="55" t="str">
        <f>Risk!AC$16</f>
        <v>Low</v>
      </c>
      <c r="I31" s="55" t="str">
        <f>Risk!AC$17</f>
        <v>Low</v>
      </c>
      <c r="J31" s="56" t="e">
        <f>Summary!#REF!</f>
        <v>#REF!</v>
      </c>
      <c r="K31" s="57">
        <f>'Operating Statement'!AE$41</f>
        <v>32887.733606027614</v>
      </c>
      <c r="L31" s="60">
        <f>'Operating Statement'!AE$60</f>
        <v>25342.686757762414</v>
      </c>
      <c r="M31" s="58">
        <f>'Operating Statement'!AE$76</f>
        <v>25091.990890843048</v>
      </c>
      <c r="N31" s="59" t="e">
        <f>'Operating Statement'!#REF!</f>
        <v>#REF!</v>
      </c>
      <c r="O31" s="58">
        <f>'Balance Sheet'!AE$52</f>
        <v>62147.93798043743</v>
      </c>
      <c r="P31" s="60" t="e">
        <f>'Operating Statement'!#REF!</f>
        <v>#REF!</v>
      </c>
      <c r="R31" s="34">
        <v>0</v>
      </c>
    </row>
    <row r="32" spans="1:18" ht="12.75">
      <c r="A32" s="67">
        <v>8</v>
      </c>
      <c r="B32" s="52" t="s">
        <v>154</v>
      </c>
      <c r="C32" s="64">
        <v>0.03</v>
      </c>
      <c r="D32" s="64">
        <v>0.055</v>
      </c>
      <c r="E32" s="55" t="str">
        <f>Risk!$AD13</f>
        <v>Low</v>
      </c>
      <c r="F32" s="55" t="str">
        <f>Risk!$AD14</f>
        <v>Medium</v>
      </c>
      <c r="G32" s="55" t="str">
        <f>Risk!AD$15</f>
        <v>Low</v>
      </c>
      <c r="H32" s="55" t="str">
        <f>Risk!AD$16</f>
        <v>Low</v>
      </c>
      <c r="I32" s="55" t="str">
        <f>Risk!AD$17</f>
        <v>Low</v>
      </c>
      <c r="J32" s="56" t="e">
        <f>Summary!#REF!</f>
        <v>#REF!</v>
      </c>
      <c r="K32" s="57">
        <f>'Operating Statement'!AF$41</f>
        <v>30592.063527572085</v>
      </c>
      <c r="L32" s="60">
        <f>'Operating Statement'!AF$60</f>
        <v>26249.15644425707</v>
      </c>
      <c r="M32" s="58">
        <f>'Operating Statement'!AF$76</f>
        <v>25507.979184699874</v>
      </c>
      <c r="N32" s="59" t="e">
        <f>'Operating Statement'!#REF!</f>
        <v>#REF!</v>
      </c>
      <c r="O32" s="58">
        <f>'Balance Sheet'!AF$52</f>
        <v>64147.82479845377</v>
      </c>
      <c r="P32" s="60" t="e">
        <f>'Operating Statement'!#REF!</f>
        <v>#REF!</v>
      </c>
      <c r="R32" s="34"/>
    </row>
    <row r="33" spans="1:18" ht="12.75">
      <c r="A33" s="67">
        <v>9</v>
      </c>
      <c r="B33" s="52" t="s">
        <v>177</v>
      </c>
      <c r="C33" s="64">
        <v>0.03</v>
      </c>
      <c r="D33" s="64">
        <v>0.055</v>
      </c>
      <c r="E33" s="55" t="str">
        <f>Risk!AE$13</f>
        <v>Low</v>
      </c>
      <c r="F33" s="55" t="str">
        <f>Risk!AE$14</f>
        <v>Medium</v>
      </c>
      <c r="G33" s="55" t="str">
        <f>Risk!AE$15</f>
        <v>Low</v>
      </c>
      <c r="H33" s="55" t="str">
        <f>Risk!AE$16</f>
        <v>Low</v>
      </c>
      <c r="I33" s="55" t="str">
        <f>Risk!AE$17</f>
        <v>Low</v>
      </c>
      <c r="J33" s="56" t="e">
        <f>Summary!#REF!</f>
        <v>#REF!</v>
      </c>
      <c r="K33" s="57">
        <f>'Operating Statement'!AG$41</f>
        <v>28681.555421170546</v>
      </c>
      <c r="L33" s="60">
        <f>'Operating Statement'!AG$60</f>
        <v>26578.400641723794</v>
      </c>
      <c r="M33" s="58">
        <f>'Operating Statement'!AG$76</f>
        <v>26208.844429786277</v>
      </c>
      <c r="N33" s="59" t="e">
        <f>'Operating Statement'!#REF!</f>
        <v>#REF!</v>
      </c>
      <c r="O33" s="58">
        <f>'Balance Sheet'!AG$52</f>
        <v>62147.42126765099</v>
      </c>
      <c r="P33" s="60" t="e">
        <f>'Operating Statement'!#REF!</f>
        <v>#REF!</v>
      </c>
      <c r="R33" s="34"/>
    </row>
    <row r="34" spans="1:18" ht="12.75">
      <c r="A34" s="67">
        <v>10</v>
      </c>
      <c r="B34" s="52" t="s">
        <v>178</v>
      </c>
      <c r="C34" s="64">
        <v>0.03</v>
      </c>
      <c r="D34" s="64">
        <v>0.055</v>
      </c>
      <c r="E34" s="55" t="str">
        <f>Risk!AF$13</f>
        <v>Low</v>
      </c>
      <c r="F34" s="55" t="str">
        <f>Risk!AF$14</f>
        <v>High</v>
      </c>
      <c r="G34" s="55" t="str">
        <f>Risk!AF$15</f>
        <v>Low</v>
      </c>
      <c r="H34" s="55" t="str">
        <f>Risk!AF$16</f>
        <v>Low</v>
      </c>
      <c r="I34" s="55" t="str">
        <f>Risk!AF$17</f>
        <v>Low</v>
      </c>
      <c r="J34" s="56" t="e">
        <f>Summary!#REF!</f>
        <v>#REF!</v>
      </c>
      <c r="K34" s="57">
        <f>'Operating Statement'!AH$41</f>
        <v>28175.466190576728</v>
      </c>
      <c r="L34" s="60">
        <f>'Operating Statement'!AH$60</f>
        <v>29290.780375285598</v>
      </c>
      <c r="M34" s="58">
        <f>'Operating Statement'!AH$76</f>
        <v>27053.703771227727</v>
      </c>
      <c r="N34" s="59" t="e">
        <f>'Operating Statement'!#REF!</f>
        <v>#REF!</v>
      </c>
      <c r="O34" s="58">
        <f>'Balance Sheet'!AH$52</f>
        <v>59147.203576876316</v>
      </c>
      <c r="P34" s="60" t="e">
        <f>'Operating Statement'!#REF!</f>
        <v>#REF!</v>
      </c>
      <c r="R34" s="34"/>
    </row>
    <row r="35" spans="1:18" ht="12.75">
      <c r="A35" s="67">
        <v>11</v>
      </c>
      <c r="B35" s="52" t="s">
        <v>182</v>
      </c>
      <c r="C35" s="64">
        <v>0.03</v>
      </c>
      <c r="D35" s="64">
        <v>0.055</v>
      </c>
      <c r="E35" s="55" t="str">
        <f>Risk!AG$13</f>
        <v>Low</v>
      </c>
      <c r="F35" s="55" t="str">
        <f>Risk!AG$14</f>
        <v>Medium</v>
      </c>
      <c r="G35" s="55" t="str">
        <f>Risk!AG$15</f>
        <v>Low</v>
      </c>
      <c r="H35" s="55" t="str">
        <f>Risk!AG$16</f>
        <v>Low</v>
      </c>
      <c r="I35" s="55" t="str">
        <f>Risk!AG$17</f>
        <v>Low</v>
      </c>
      <c r="J35" s="56" t="e">
        <f>Summary!#REF!</f>
        <v>#REF!</v>
      </c>
      <c r="K35" s="57">
        <f>'Operating Statement'!AI$41</f>
        <v>32004.754119990073</v>
      </c>
      <c r="L35" s="60">
        <f>'Operating Statement'!AI$60</f>
        <v>29134.036131055265</v>
      </c>
      <c r="M35" s="58">
        <f>'Operating Statement'!AI$76</f>
        <v>27826.203634103582</v>
      </c>
      <c r="N35" s="59" t="e">
        <f>'Operating Statement'!#REF!</f>
        <v>#REF!</v>
      </c>
      <c r="O35" s="58">
        <f>'Balance Sheet'!AI$52</f>
        <v>48233.31273821569</v>
      </c>
      <c r="P35" s="60" t="e">
        <f>'Operating Statement'!#REF!</f>
        <v>#REF!</v>
      </c>
      <c r="R35" s="34"/>
    </row>
    <row r="36" spans="1:18" ht="12.75">
      <c r="A36" s="67">
        <v>12</v>
      </c>
      <c r="B36" s="52" t="s">
        <v>183</v>
      </c>
      <c r="C36" s="64">
        <v>0.03</v>
      </c>
      <c r="D36" s="64">
        <v>0.055</v>
      </c>
      <c r="E36" s="55" t="str">
        <f>Risk!AH$13</f>
        <v>Low</v>
      </c>
      <c r="F36" s="55" t="str">
        <f>Risk!AH$14</f>
        <v>Medium</v>
      </c>
      <c r="G36" s="55" t="str">
        <f>Risk!AH$15</f>
        <v>Low</v>
      </c>
      <c r="H36" s="55" t="str">
        <f>Risk!AH$16</f>
        <v>Low</v>
      </c>
      <c r="I36" s="55" t="str">
        <f>Risk!AH$17</f>
        <v>Medium</v>
      </c>
      <c r="J36" s="56" t="e">
        <f>Summary!#REF!</f>
        <v>#REF!</v>
      </c>
      <c r="K36" s="57">
        <f>'Operating Statement'!AJ$41</f>
        <v>28684.096493325138</v>
      </c>
      <c r="L36" s="60">
        <f>'Operating Statement'!AJ$60</f>
        <v>28842.4158915046</v>
      </c>
      <c r="M36" s="58">
        <f>'Operating Statement'!AJ$76</f>
        <v>29925.28813500775</v>
      </c>
      <c r="N36" s="59" t="e">
        <f>'Operating Statement'!#REF!</f>
        <v>#REF!</v>
      </c>
      <c r="O36" s="58">
        <f>'Balance Sheet'!AJ$52</f>
        <v>38566.854505034156</v>
      </c>
      <c r="P36" s="60" t="e">
        <f>'Operating Statement'!#REF!</f>
        <v>#REF!</v>
      </c>
      <c r="R36" s="34"/>
    </row>
    <row r="37" spans="1:18" ht="12.75">
      <c r="A37" s="67">
        <v>13</v>
      </c>
      <c r="B37" s="52" t="s">
        <v>191</v>
      </c>
      <c r="C37" s="64">
        <v>0.03</v>
      </c>
      <c r="D37" s="64">
        <v>0.055</v>
      </c>
      <c r="E37" s="55" t="str">
        <f>Risk!AI$13</f>
        <v>Low</v>
      </c>
      <c r="F37" s="55" t="str">
        <f>Risk!AI$14</f>
        <v>Low</v>
      </c>
      <c r="G37" s="55" t="str">
        <f>Risk!AI$15</f>
        <v>Low</v>
      </c>
      <c r="H37" s="55" t="str">
        <f>Risk!AI$16</f>
        <v>Low</v>
      </c>
      <c r="I37" s="55" t="str">
        <f>Risk!AI$17</f>
        <v>Medium</v>
      </c>
      <c r="J37" s="56" t="e">
        <f>Summary!#REF!</f>
        <v>#REF!</v>
      </c>
      <c r="K37" s="57">
        <f>'Operating Statement'!AK$41</f>
        <v>28064.72280026955</v>
      </c>
      <c r="L37" s="60">
        <f>'Operating Statement'!AK$60</f>
        <v>30228.201992668222</v>
      </c>
      <c r="M37" s="58">
        <f>'Operating Statement'!AK$76</f>
        <v>29883.60805146105</v>
      </c>
      <c r="N37" s="59" t="e">
        <f>'Operating Statement'!#REF!</f>
        <v>#REF!</v>
      </c>
      <c r="O37" s="58">
        <f>'Balance Sheet'!AK$52</f>
        <v>44566.76059905108</v>
      </c>
      <c r="P37" s="60" t="e">
        <f>'Operating Statement'!#REF!</f>
        <v>#REF!</v>
      </c>
      <c r="R37" s="34"/>
    </row>
    <row r="38" spans="1:18" ht="12.75">
      <c r="A38" s="67">
        <v>14</v>
      </c>
      <c r="B38" s="52" t="s">
        <v>219</v>
      </c>
      <c r="C38" s="64">
        <v>0.03</v>
      </c>
      <c r="D38" s="64">
        <v>0.055</v>
      </c>
      <c r="E38" s="55" t="str">
        <f>Risk!AJ$13</f>
        <v>Low</v>
      </c>
      <c r="F38" s="55" t="str">
        <f>Risk!AJ$14</f>
        <v>Low</v>
      </c>
      <c r="G38" s="55" t="str">
        <f>Risk!AJ$15</f>
        <v>Low</v>
      </c>
      <c r="H38" s="55" t="str">
        <f>Risk!AJ$16</f>
        <v>Low</v>
      </c>
      <c r="I38" s="55" t="str">
        <f>Risk!AJ$17</f>
        <v>Medium</v>
      </c>
      <c r="J38" s="56" t="e">
        <f>Summary!#REF!</f>
        <v>#REF!</v>
      </c>
      <c r="K38" s="57">
        <f>'Operating Statement'!AL$41</f>
        <v>26692.563998956583</v>
      </c>
      <c r="L38" s="60">
        <f>'Operating Statement'!AL$60</f>
        <v>31346.894185368546</v>
      </c>
      <c r="M38" s="58">
        <f>'Operating Statement'!AL$76</f>
        <v>31011.489964210472</v>
      </c>
      <c r="N38" s="59" t="e">
        <f>'Operating Statement'!#REF!</f>
        <v>#REF!</v>
      </c>
      <c r="O38" s="58">
        <f>'Balance Sheet'!AL$52</f>
        <v>37567.15240270889</v>
      </c>
      <c r="P38" s="60" t="e">
        <f>'Operating Statement'!#REF!</f>
        <v>#REF!</v>
      </c>
      <c r="R38" s="34"/>
    </row>
    <row r="39" spans="1:18" ht="12.75">
      <c r="A39" s="67">
        <v>15</v>
      </c>
      <c r="B39" s="52" t="s">
        <v>220</v>
      </c>
      <c r="C39" s="64">
        <v>0.03</v>
      </c>
      <c r="D39" s="64">
        <v>0.055</v>
      </c>
      <c r="E39" s="55" t="str">
        <f>Risk!AK$13</f>
        <v>Low</v>
      </c>
      <c r="F39" s="55" t="str">
        <f>Risk!AK$14</f>
        <v>Low</v>
      </c>
      <c r="G39" s="55" t="str">
        <f>Risk!AK$15</f>
        <v>Low</v>
      </c>
      <c r="H39" s="55" t="str">
        <f>Risk!AK$16</f>
        <v>Low</v>
      </c>
      <c r="I39" s="55" t="str">
        <f>Risk!AK$17</f>
        <v>Low</v>
      </c>
      <c r="J39" s="56" t="e">
        <f>Summary!#REF!</f>
        <v>#REF!</v>
      </c>
      <c r="K39" s="57">
        <f>'Operating Statement'!AM$41</f>
        <v>29047.682594863232</v>
      </c>
      <c r="L39" s="60">
        <f>'Operating Statement'!AM$60</f>
        <v>32620.622956841846</v>
      </c>
      <c r="M39" s="58">
        <f>'Operating Statement'!AM$76</f>
        <v>32119.930867200674</v>
      </c>
      <c r="N39" s="59" t="e">
        <f>'Operating Statement'!#REF!</f>
        <v>#REF!</v>
      </c>
      <c r="O39" s="58">
        <f>'Balance Sheet'!AM$52</f>
        <v>28778.50018105426</v>
      </c>
      <c r="P39" s="60" t="e">
        <f>'Operating Statement'!#REF!</f>
        <v>#REF!</v>
      </c>
      <c r="R39" s="34"/>
    </row>
    <row r="40" spans="1:18" ht="12.75">
      <c r="A40" s="67">
        <v>16</v>
      </c>
      <c r="B40" s="52" t="s">
        <v>221</v>
      </c>
      <c r="C40" s="64">
        <v>0.03</v>
      </c>
      <c r="D40" s="64">
        <v>0.055</v>
      </c>
      <c r="E40" s="55" t="str">
        <f>Risk!AL$13</f>
        <v>Low</v>
      </c>
      <c r="F40" s="55" t="str">
        <f>Risk!AL$14</f>
        <v>Low</v>
      </c>
      <c r="G40" s="55" t="str">
        <f>Risk!AL$15</f>
        <v>Low</v>
      </c>
      <c r="H40" s="55" t="str">
        <f>Risk!AL$16</f>
        <v>Low</v>
      </c>
      <c r="I40" s="55" t="str">
        <f>Risk!AL$17</f>
        <v>Medium</v>
      </c>
      <c r="J40" s="56" t="e">
        <f>Summary!#REF!</f>
        <v>#REF!</v>
      </c>
      <c r="K40" s="57">
        <f>'Operating Statement'!AN$41</f>
        <v>31214.400145685708</v>
      </c>
      <c r="L40" s="60">
        <f>'Operating Statement'!AN$60</f>
        <v>35980.01149020823</v>
      </c>
      <c r="M40" s="58">
        <f>'Operating Statement'!AN$76</f>
        <v>33543.26839174778</v>
      </c>
      <c r="N40" s="59" t="e">
        <f>'Operating Statement'!#REF!</f>
        <v>#REF!</v>
      </c>
      <c r="O40" s="58">
        <f>'Balance Sheet'!AN$52</f>
        <v>19650.098601782985</v>
      </c>
      <c r="P40" s="60" t="e">
        <f>'Operating Statement'!#REF!</f>
        <v>#REF!</v>
      </c>
      <c r="R40" s="34"/>
    </row>
    <row r="41" spans="1:18" ht="12.75">
      <c r="A41" s="67">
        <v>17</v>
      </c>
      <c r="B41" s="52" t="s">
        <v>222</v>
      </c>
      <c r="C41" s="64">
        <v>0.03</v>
      </c>
      <c r="D41" s="64">
        <v>0.055</v>
      </c>
      <c r="E41" s="55" t="str">
        <f>Risk!AM$13</f>
        <v>Low</v>
      </c>
      <c r="F41" s="55" t="str">
        <f>Risk!AM$14</f>
        <v>Low</v>
      </c>
      <c r="G41" s="55" t="str">
        <f>Risk!AM$15</f>
        <v>Low</v>
      </c>
      <c r="H41" s="55" t="str">
        <f>Risk!AM$16</f>
        <v>Low</v>
      </c>
      <c r="I41" s="55" t="str">
        <f>Risk!AM$17</f>
        <v>Medium</v>
      </c>
      <c r="J41" s="56" t="e">
        <f>Summary!#REF!</f>
        <v>#REF!</v>
      </c>
      <c r="K41" s="57">
        <f>'Operating Statement'!AO$41</f>
        <v>33540.32058849966</v>
      </c>
      <c r="L41" s="60">
        <f>'Operating Statement'!AO$60</f>
        <v>39745.01506402415</v>
      </c>
      <c r="M41" s="58">
        <f>'Operating Statement'!AO$76</f>
        <v>34839.99420532205</v>
      </c>
      <c r="N41" s="59" t="e">
        <f>'Operating Statement'!#REF!</f>
        <v>#REF!</v>
      </c>
      <c r="O41" s="58">
        <f>'Balance Sheet'!AO$52</f>
        <v>11541.491343441965</v>
      </c>
      <c r="P41" s="60" t="e">
        <f>'Operating Statement'!#REF!</f>
        <v>#REF!</v>
      </c>
      <c r="R41" s="34"/>
    </row>
    <row r="42" spans="1:16" ht="12.75">
      <c r="A42" s="67">
        <v>18</v>
      </c>
      <c r="B42" s="66" t="s">
        <v>223</v>
      </c>
      <c r="C42" s="64">
        <v>0.03</v>
      </c>
      <c r="D42" s="64">
        <v>0.055</v>
      </c>
      <c r="E42" s="55" t="str">
        <f>Risk!AN$13</f>
        <v>Low</v>
      </c>
      <c r="F42" s="55" t="str">
        <f>Risk!AN$14</f>
        <v>Low</v>
      </c>
      <c r="G42" s="55" t="str">
        <f>Risk!AN$15</f>
        <v>Low</v>
      </c>
      <c r="H42" s="55" t="str">
        <f>Risk!AN$16</f>
        <v>Low</v>
      </c>
      <c r="I42" s="55" t="str">
        <f>Risk!AN$17</f>
        <v>Medium</v>
      </c>
      <c r="J42" s="56" t="e">
        <f>Summary!#REF!</f>
        <v>#REF!</v>
      </c>
      <c r="K42" s="57">
        <f>'Operating Statement'!AO$41</f>
        <v>33540.32058849966</v>
      </c>
      <c r="L42" s="60">
        <f>'Operating Statement'!AO$60</f>
        <v>39745.01506402415</v>
      </c>
      <c r="M42" s="58">
        <f>'Operating Statement'!AO$76</f>
        <v>34839.99420532205</v>
      </c>
      <c r="N42" s="59" t="e">
        <f>'Operating Statement'!#REF!</f>
        <v>#REF!</v>
      </c>
      <c r="O42" s="58">
        <f>'Balance Sheet'!AO$52</f>
        <v>11541.491343441965</v>
      </c>
      <c r="P42" s="60" t="e">
        <f>'Operating Statement'!#REF!</f>
        <v>#REF!</v>
      </c>
    </row>
    <row r="43" spans="1:16" ht="12.75">
      <c r="A43" s="68">
        <v>19</v>
      </c>
      <c r="B43" s="66" t="s">
        <v>224</v>
      </c>
      <c r="C43" s="64">
        <v>0.03</v>
      </c>
      <c r="D43" s="64">
        <v>0.055</v>
      </c>
      <c r="E43" s="55" t="str">
        <f>Risk!$AO13</f>
        <v>Low</v>
      </c>
      <c r="F43" s="55" t="str">
        <f>Risk!$AO14</f>
        <v>Low</v>
      </c>
      <c r="G43" s="55" t="str">
        <f>Risk!$AO15</f>
        <v>Low</v>
      </c>
      <c r="H43" s="55" t="str">
        <f>Risk!$AO16</f>
        <v>Low</v>
      </c>
      <c r="I43" s="55" t="str">
        <f>Risk!$AO17</f>
        <v>Medium</v>
      </c>
      <c r="J43" s="70"/>
      <c r="K43" s="71"/>
      <c r="L43" s="72"/>
      <c r="M43" s="73"/>
      <c r="N43" s="74"/>
      <c r="O43" s="73"/>
      <c r="P43" s="72"/>
    </row>
    <row r="44" spans="1:16" ht="12.75">
      <c r="A44" s="68">
        <v>20</v>
      </c>
      <c r="B44" s="66" t="s">
        <v>244</v>
      </c>
      <c r="C44" s="64">
        <v>0.03</v>
      </c>
      <c r="D44" s="64">
        <v>0.055</v>
      </c>
      <c r="E44" s="55" t="str">
        <f>Risk!$AP13</f>
        <v>Low</v>
      </c>
      <c r="F44" s="55" t="str">
        <f>Risk!$AP14</f>
        <v>Low</v>
      </c>
      <c r="G44" s="55" t="str">
        <f>Risk!$AP15</f>
        <v>Low</v>
      </c>
      <c r="H44" s="55" t="str">
        <f>Risk!$AP16</f>
        <v>Low</v>
      </c>
      <c r="I44" s="55" t="str">
        <f>Risk!$AP17</f>
        <v>Medium</v>
      </c>
      <c r="J44" s="70"/>
      <c r="K44" s="71"/>
      <c r="L44" s="72"/>
      <c r="M44" s="73"/>
      <c r="N44" s="74"/>
      <c r="O44" s="73"/>
      <c r="P44" s="72"/>
    </row>
    <row r="49" ht="12.75">
      <c r="M49" s="40"/>
    </row>
    <row r="54" ht="12.75">
      <c r="M54" s="42"/>
    </row>
    <row r="55" ht="12.75">
      <c r="M55" s="42"/>
    </row>
    <row r="56" ht="12.75">
      <c r="M56" s="42"/>
    </row>
    <row r="57" ht="12.75">
      <c r="M57" s="42"/>
    </row>
    <row r="58" ht="12.75">
      <c r="M58" s="42"/>
    </row>
    <row r="59" ht="12.75">
      <c r="M59" s="42"/>
    </row>
    <row r="60" ht="12.75">
      <c r="M60" s="42"/>
    </row>
    <row r="61" ht="12.75">
      <c r="M61" s="42"/>
    </row>
    <row r="62" ht="12.75">
      <c r="M62" s="42"/>
    </row>
    <row r="63" ht="12.75">
      <c r="M63" s="42"/>
    </row>
    <row r="64" ht="12.75">
      <c r="M64" s="42"/>
    </row>
    <row r="65" ht="12.75">
      <c r="M65" s="42"/>
    </row>
    <row r="66" ht="12.75">
      <c r="M66" s="42"/>
    </row>
    <row r="67" ht="12.75">
      <c r="M67" s="42"/>
    </row>
    <row r="68" ht="12.75">
      <c r="M68" s="42"/>
    </row>
    <row r="69" ht="12.75">
      <c r="M69" s="42"/>
    </row>
    <row r="70" ht="12.75">
      <c r="M70" s="42"/>
    </row>
    <row r="71" ht="12.75">
      <c r="M71" s="42"/>
    </row>
    <row r="72" ht="12.75">
      <c r="M72" s="42"/>
    </row>
    <row r="73" spans="10:11" ht="12.75">
      <c r="J73" s="43"/>
      <c r="K73" s="44"/>
    </row>
    <row r="74" spans="10:12" ht="12.75">
      <c r="J74" s="43"/>
      <c r="K74" s="44"/>
      <c r="L74" s="39"/>
    </row>
    <row r="87" ht="12.75">
      <c r="C87" s="47"/>
    </row>
    <row r="88" ht="12.75">
      <c r="C88" s="47"/>
    </row>
    <row r="89" ht="12.75">
      <c r="C89" s="47"/>
    </row>
    <row r="90" ht="12.75">
      <c r="C90" s="47"/>
    </row>
    <row r="91" ht="12.75">
      <c r="C91" s="47"/>
    </row>
    <row r="92" ht="12.75">
      <c r="C92" s="47"/>
    </row>
    <row r="93" ht="12.75">
      <c r="C93" s="47"/>
    </row>
    <row r="94" ht="12.75">
      <c r="C94" s="47"/>
    </row>
    <row r="95" ht="12.75">
      <c r="C95" s="47"/>
    </row>
    <row r="96" ht="12.75">
      <c r="C96" s="47"/>
    </row>
    <row r="97" ht="12.75">
      <c r="C97" s="47"/>
    </row>
    <row r="98" ht="12.75">
      <c r="C98" s="47"/>
    </row>
    <row r="99" ht="12.75">
      <c r="C99" s="47"/>
    </row>
    <row r="100" ht="12.75">
      <c r="C100" s="47"/>
    </row>
    <row r="101" ht="12.75">
      <c r="C101" s="47"/>
    </row>
  </sheetData>
  <sheetProtection/>
  <mergeCells count="2">
    <mergeCell ref="A3:B3"/>
    <mergeCell ref="A1:P1"/>
  </mergeCells>
  <conditionalFormatting sqref="M4:M44">
    <cfRule type="cellIs" priority="1" dxfId="0" operator="greaterThan" stopIfTrue="1">
      <formula>L4</formula>
    </cfRule>
  </conditionalFormatting>
  <conditionalFormatting sqref="E4:J44">
    <cfRule type="cellIs" priority="2" dxfId="2" operator="equal" stopIfTrue="1">
      <formula>"Low"</formula>
    </cfRule>
    <cfRule type="cellIs" priority="3" dxfId="1" operator="equal" stopIfTrue="1">
      <formula>"Medium"</formula>
    </cfRule>
    <cfRule type="cellIs" priority="4" dxfId="0" operator="equal" stopIfTrue="1">
      <formula>"High"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1" sqref="K1:M16384"/>
    </sheetView>
  </sheetViews>
  <sheetFormatPr defaultColWidth="9.33203125" defaultRowHeight="12.75"/>
  <cols>
    <col min="1" max="10" width="12.83203125" style="0" customWidth="1"/>
    <col min="11" max="13" width="10.83203125" style="0" hidden="1" customWidth="1"/>
  </cols>
  <sheetData>
    <row r="1" spans="1:9" ht="12.75">
      <c r="A1" s="86"/>
      <c r="B1" s="87"/>
      <c r="C1" s="87"/>
      <c r="D1" s="87"/>
      <c r="E1" s="87"/>
      <c r="F1" s="88"/>
      <c r="G1" s="78"/>
      <c r="H1" s="78"/>
      <c r="I1" s="78"/>
    </row>
    <row r="2" spans="1:10" ht="12.75">
      <c r="A2" s="38"/>
      <c r="B2" s="37" t="s">
        <v>195</v>
      </c>
      <c r="C2" s="37"/>
      <c r="D2" s="37"/>
      <c r="E2" s="37"/>
      <c r="F2" s="279"/>
      <c r="G2" s="37"/>
      <c r="H2" s="37"/>
      <c r="I2" s="37"/>
      <c r="J2" s="37"/>
    </row>
    <row r="3" spans="1:10" ht="12.75">
      <c r="A3" s="38"/>
      <c r="B3" s="37"/>
      <c r="C3" s="37"/>
      <c r="D3" s="37"/>
      <c r="E3" s="37"/>
      <c r="F3" s="279"/>
      <c r="G3" s="37"/>
      <c r="H3" s="37"/>
      <c r="I3" s="37"/>
      <c r="J3" s="37"/>
    </row>
    <row r="4" spans="1:10" ht="12.75">
      <c r="A4" s="38"/>
      <c r="B4" s="41" t="s">
        <v>197</v>
      </c>
      <c r="C4" s="41"/>
      <c r="D4" s="41"/>
      <c r="E4" s="69">
        <v>0.025</v>
      </c>
      <c r="F4" s="279"/>
      <c r="G4" s="39"/>
      <c r="H4" s="78"/>
      <c r="I4" s="69"/>
      <c r="J4" s="39"/>
    </row>
    <row r="5" spans="1:10" ht="12.75">
      <c r="A5" s="38"/>
      <c r="B5" s="37"/>
      <c r="C5" s="37"/>
      <c r="D5" s="37"/>
      <c r="E5" s="273"/>
      <c r="F5" s="279"/>
      <c r="G5" s="37"/>
      <c r="H5" s="78"/>
      <c r="I5" s="273"/>
      <c r="J5" s="37"/>
    </row>
    <row r="6" spans="1:10" ht="12.75">
      <c r="A6" s="38"/>
      <c r="B6" s="41" t="s">
        <v>236</v>
      </c>
      <c r="C6" s="41"/>
      <c r="D6" s="41"/>
      <c r="E6" s="69">
        <v>0.037</v>
      </c>
      <c r="F6" s="279"/>
      <c r="G6" s="37"/>
      <c r="H6" s="78"/>
      <c r="I6" s="69"/>
      <c r="J6" s="37"/>
    </row>
    <row r="7" spans="1:10" ht="12.75">
      <c r="A7" s="38"/>
      <c r="B7" s="41" t="s">
        <v>508</v>
      </c>
      <c r="C7" s="41"/>
      <c r="D7" s="41"/>
      <c r="E7" s="69">
        <v>0.036</v>
      </c>
      <c r="F7" s="279"/>
      <c r="G7" s="37"/>
      <c r="H7" s="78"/>
      <c r="I7" s="69"/>
      <c r="J7" s="37"/>
    </row>
    <row r="8" spans="1:10" ht="12.75">
      <c r="A8" s="38"/>
      <c r="B8" s="41" t="s">
        <v>521</v>
      </c>
      <c r="C8" s="41"/>
      <c r="D8" s="41"/>
      <c r="E8" s="69">
        <v>0.015</v>
      </c>
      <c r="F8" s="279"/>
      <c r="G8" s="37"/>
      <c r="H8" s="78"/>
      <c r="I8" s="69"/>
      <c r="J8" s="37"/>
    </row>
    <row r="9" spans="1:10" ht="12.75">
      <c r="A9" s="38"/>
      <c r="B9" s="41"/>
      <c r="C9" s="41"/>
      <c r="D9" s="41"/>
      <c r="E9" s="69"/>
      <c r="F9" s="279"/>
      <c r="G9" s="37"/>
      <c r="H9" s="78"/>
      <c r="I9" s="69"/>
      <c r="J9" s="37"/>
    </row>
    <row r="10" spans="1:10" ht="12.75">
      <c r="A10" s="38"/>
      <c r="B10" s="41" t="s">
        <v>522</v>
      </c>
      <c r="C10" s="41"/>
      <c r="D10" s="41"/>
      <c r="E10" s="69">
        <v>0.01</v>
      </c>
      <c r="F10" s="279"/>
      <c r="G10" s="37"/>
      <c r="H10" s="78"/>
      <c r="I10" s="69"/>
      <c r="J10" s="37"/>
    </row>
    <row r="11" spans="1:10" ht="12.75">
      <c r="A11" s="38"/>
      <c r="B11" s="41" t="s">
        <v>292</v>
      </c>
      <c r="C11" s="41"/>
      <c r="D11" s="41"/>
      <c r="E11" s="69">
        <v>0.025</v>
      </c>
      <c r="F11" s="279"/>
      <c r="G11" s="37"/>
      <c r="H11" s="78"/>
      <c r="I11" s="69"/>
      <c r="J11" s="37"/>
    </row>
    <row r="12" spans="1:10" ht="12.75">
      <c r="A12" s="38"/>
      <c r="B12" s="37"/>
      <c r="C12" s="37"/>
      <c r="D12" s="37"/>
      <c r="E12" s="273"/>
      <c r="F12" s="279"/>
      <c r="G12" s="37"/>
      <c r="H12" s="78"/>
      <c r="I12" s="273"/>
      <c r="J12" s="37"/>
    </row>
    <row r="13" spans="1:10" ht="12.75">
      <c r="A13" s="38"/>
      <c r="B13" s="41" t="s">
        <v>211</v>
      </c>
      <c r="C13" s="41"/>
      <c r="D13" s="41"/>
      <c r="E13" s="69">
        <v>0.03</v>
      </c>
      <c r="F13" s="279"/>
      <c r="G13" s="39"/>
      <c r="H13" s="78"/>
      <c r="I13" s="69"/>
      <c r="J13" s="39"/>
    </row>
    <row r="14" spans="1:10" ht="12.75">
      <c r="A14" s="38"/>
      <c r="B14" s="41" t="s">
        <v>212</v>
      </c>
      <c r="C14" s="41"/>
      <c r="D14" s="41"/>
      <c r="E14" s="69">
        <v>0.03</v>
      </c>
      <c r="F14" s="279"/>
      <c r="G14" s="39"/>
      <c r="H14" s="78"/>
      <c r="I14" s="69"/>
      <c r="J14" s="39"/>
    </row>
    <row r="15" spans="1:10" ht="12.75">
      <c r="A15" s="38"/>
      <c r="B15" s="41" t="s">
        <v>213</v>
      </c>
      <c r="C15" s="41"/>
      <c r="D15" s="41"/>
      <c r="E15" s="69">
        <v>0.025</v>
      </c>
      <c r="F15" s="279"/>
      <c r="G15" s="39"/>
      <c r="H15" s="78"/>
      <c r="I15" s="69"/>
      <c r="J15" s="39"/>
    </row>
    <row r="16" spans="1:10" ht="12.75">
      <c r="A16" s="38"/>
      <c r="B16" s="39"/>
      <c r="C16" s="39"/>
      <c r="D16" s="39"/>
      <c r="E16" s="69"/>
      <c r="F16" s="279"/>
      <c r="G16" s="39"/>
      <c r="H16" s="78"/>
      <c r="I16" s="69"/>
      <c r="J16" s="39"/>
    </row>
    <row r="17" spans="1:10" ht="12.75">
      <c r="A17" s="38"/>
      <c r="B17" s="41" t="s">
        <v>509</v>
      </c>
      <c r="C17" s="41"/>
      <c r="D17" s="41"/>
      <c r="E17" s="69">
        <v>0.04</v>
      </c>
      <c r="F17" s="279"/>
      <c r="G17" s="39"/>
      <c r="H17" s="78"/>
      <c r="I17" s="69"/>
      <c r="J17" s="39"/>
    </row>
    <row r="18" spans="1:10" ht="12.75">
      <c r="A18" s="38"/>
      <c r="B18" s="41" t="s">
        <v>510</v>
      </c>
      <c r="C18" s="41"/>
      <c r="D18" s="41"/>
      <c r="E18" s="69">
        <v>0.04</v>
      </c>
      <c r="F18" s="279"/>
      <c r="G18" s="39"/>
      <c r="H18" s="78"/>
      <c r="I18" s="69"/>
      <c r="J18" s="39"/>
    </row>
    <row r="19" spans="1:10" ht="13.5" thickBot="1">
      <c r="A19" s="45"/>
      <c r="B19" s="46"/>
      <c r="C19" s="46"/>
      <c r="D19" s="46"/>
      <c r="E19" s="46"/>
      <c r="F19" s="280"/>
      <c r="G19" s="39"/>
      <c r="H19" s="69"/>
      <c r="I19" s="69"/>
      <c r="J19" s="39"/>
    </row>
    <row r="20" spans="1:10" ht="12.75">
      <c r="A20" s="39"/>
      <c r="B20" s="39"/>
      <c r="C20" s="39"/>
      <c r="D20" s="39"/>
      <c r="E20" s="39"/>
      <c r="F20" s="41"/>
      <c r="G20" s="39"/>
      <c r="H20" s="69"/>
      <c r="I20" s="69"/>
      <c r="J20" s="39"/>
    </row>
    <row r="21" spans="1:10" ht="12.75">
      <c r="A21" s="39"/>
      <c r="B21" s="39"/>
      <c r="C21" s="39"/>
      <c r="D21" s="39"/>
      <c r="E21" s="39"/>
      <c r="F21" s="41"/>
      <c r="G21" s="39"/>
      <c r="H21" s="69"/>
      <c r="I21" s="69"/>
      <c r="J21" s="39"/>
    </row>
    <row r="22" spans="1:10" ht="15">
      <c r="A22" s="305" t="s">
        <v>470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3.5" thickBot="1">
      <c r="A23" s="39"/>
      <c r="B23" s="39"/>
      <c r="C23" s="39"/>
      <c r="D23" s="39"/>
      <c r="E23" s="39"/>
      <c r="F23" s="41"/>
      <c r="G23" s="39"/>
      <c r="H23" s="69"/>
      <c r="I23" s="69"/>
      <c r="J23" s="39"/>
    </row>
    <row r="24" spans="1:10" ht="39">
      <c r="A24" s="236" t="s">
        <v>485</v>
      </c>
      <c r="B24" s="237" t="s">
        <v>484</v>
      </c>
      <c r="C24" s="238" t="s">
        <v>218</v>
      </c>
      <c r="D24" s="238" t="s">
        <v>518</v>
      </c>
      <c r="E24" s="237" t="s">
        <v>233</v>
      </c>
      <c r="F24" s="237" t="s">
        <v>165</v>
      </c>
      <c r="G24" s="238" t="s">
        <v>507</v>
      </c>
      <c r="H24" s="238" t="s">
        <v>99</v>
      </c>
      <c r="I24" s="238" t="s">
        <v>163</v>
      </c>
      <c r="J24" s="239" t="s">
        <v>96</v>
      </c>
    </row>
    <row r="25" spans="1:10" ht="13.5" thickBot="1">
      <c r="A25" s="240" t="s">
        <v>20</v>
      </c>
      <c r="B25" s="241" t="s">
        <v>20</v>
      </c>
      <c r="C25" s="241" t="s">
        <v>20</v>
      </c>
      <c r="D25" s="241" t="s">
        <v>20</v>
      </c>
      <c r="E25" s="241" t="s">
        <v>20</v>
      </c>
      <c r="F25" s="241" t="s">
        <v>20</v>
      </c>
      <c r="G25" s="241" t="s">
        <v>20</v>
      </c>
      <c r="H25" s="241" t="s">
        <v>20</v>
      </c>
      <c r="I25" s="241" t="s">
        <v>20</v>
      </c>
      <c r="J25" s="242" t="s">
        <v>20</v>
      </c>
    </row>
    <row r="26" spans="1:10" ht="12.75">
      <c r="A26" s="284" t="e">
        <f>#REF!</f>
        <v>#REF!</v>
      </c>
      <c r="B26" s="243">
        <f>'Operating Statement'!W49</f>
        <v>8128</v>
      </c>
      <c r="C26" s="288">
        <f>Summary!W$22</f>
        <v>-7275</v>
      </c>
      <c r="D26" s="288">
        <f>Summary!W45</f>
        <v>42952</v>
      </c>
      <c r="E26" s="289">
        <f>'Operating Statement'!W47</f>
        <v>112860</v>
      </c>
      <c r="F26" s="281" t="s">
        <v>265</v>
      </c>
      <c r="G26" s="285">
        <v>15000</v>
      </c>
      <c r="H26" s="286">
        <f>'Operating Statement'!W60</f>
        <v>27445</v>
      </c>
      <c r="I26" s="286">
        <f>'Operating Statement'!W80</f>
        <v>3248</v>
      </c>
      <c r="J26" s="287">
        <f>'Operating Statement'!W78</f>
        <v>1.0897027778708575</v>
      </c>
    </row>
    <row r="27" spans="1:13" ht="12.75">
      <c r="A27" s="82" t="e">
        <f>#REF!</f>
        <v>#REF!</v>
      </c>
      <c r="B27" s="235">
        <f>'Operating Statement'!X49</f>
        <v>3872</v>
      </c>
      <c r="C27" s="288">
        <f>Summary!X$22</f>
        <v>827</v>
      </c>
      <c r="D27" s="288">
        <f>Summary!X45</f>
        <v>25965</v>
      </c>
      <c r="E27" s="34">
        <f>'Operating Statement'!X47</f>
        <v>62877</v>
      </c>
      <c r="F27" s="282" t="s">
        <v>267</v>
      </c>
      <c r="G27" s="210">
        <f>-B27+K27+L27</f>
        <v>0</v>
      </c>
      <c r="H27" s="276">
        <f>'Operating Statement'!X60</f>
        <v>23042.815</v>
      </c>
      <c r="I27" s="80">
        <f>'Operating Statement'!X80</f>
        <v>3250.2965226041633</v>
      </c>
      <c r="J27" s="83">
        <f>'Operating Statement'!X78</f>
        <v>1.1223391108504017</v>
      </c>
      <c r="K27" s="244">
        <v>3872</v>
      </c>
      <c r="L27" s="270">
        <v>0</v>
      </c>
      <c r="M27" s="270"/>
    </row>
    <row r="28" spans="1:13" ht="12.75">
      <c r="A28" s="82" t="e">
        <f>#REF!</f>
        <v>#REF!</v>
      </c>
      <c r="B28" s="235">
        <f>'Operating Statement'!Y49</f>
        <v>3804.0251530115356</v>
      </c>
      <c r="C28" s="288">
        <f>Summary!Y$22</f>
        <v>892.1602712500026</v>
      </c>
      <c r="D28" s="288">
        <f>Summary!Y45</f>
        <v>27965.160271250003</v>
      </c>
      <c r="E28" s="34">
        <f>'Operating Statement'!Y47</f>
        <v>67104</v>
      </c>
      <c r="F28" s="282" t="s">
        <v>268</v>
      </c>
      <c r="G28" s="210">
        <f>-B28+K28+L28</f>
        <v>2999.9748469884644</v>
      </c>
      <c r="H28" s="276">
        <f>'Operating Statement'!Y60</f>
        <v>20684.042683238466</v>
      </c>
      <c r="I28" s="80">
        <f>'Operating Statement'!Y80</f>
        <v>26.833063631143887</v>
      </c>
      <c r="J28" s="83">
        <f>'Operating Statement'!Y78</f>
        <v>1.0374372922206696</v>
      </c>
      <c r="K28" s="244">
        <v>3804</v>
      </c>
      <c r="L28" s="270">
        <v>3000</v>
      </c>
      <c r="M28" s="270"/>
    </row>
    <row r="29" spans="1:13" ht="12.75">
      <c r="A29" s="82" t="e">
        <f>#REF!</f>
        <v>#REF!</v>
      </c>
      <c r="B29" s="235">
        <f>'Operating Statement'!Z49</f>
        <v>4148.823596319216</v>
      </c>
      <c r="C29" s="288">
        <f>Summary!Z$22</f>
        <v>743.1221767120878</v>
      </c>
      <c r="D29" s="288">
        <f>Summary!Z45</f>
        <v>27809.122176712088</v>
      </c>
      <c r="E29" s="34">
        <f>'Operating Statement'!Z47</f>
        <v>70496</v>
      </c>
      <c r="F29" s="282" t="s">
        <v>269</v>
      </c>
      <c r="G29" s="210">
        <f aca="true" t="shared" si="0" ref="G29:G46">-B29+K29+L29</f>
        <v>8000.176403680784</v>
      </c>
      <c r="H29" s="276">
        <f>'Operating Statement'!Z60</f>
        <v>21107.588989446336</v>
      </c>
      <c r="I29" s="80">
        <f>'Operating Statement'!Z80</f>
        <v>-147.1862358067592</v>
      </c>
      <c r="J29" s="83">
        <f>'Operating Statement'!Z78</f>
        <v>1.034680121668131</v>
      </c>
      <c r="K29" s="244">
        <v>4149</v>
      </c>
      <c r="L29" s="270">
        <v>8000</v>
      </c>
      <c r="M29" s="270"/>
    </row>
    <row r="30" spans="1:13" ht="12.75">
      <c r="A30" s="82" t="e">
        <f>#REF!</f>
        <v>#REF!</v>
      </c>
      <c r="B30" s="235">
        <f>'Operating Statement'!AA49</f>
        <v>5185.6348104548015</v>
      </c>
      <c r="C30" s="288">
        <f>Summary!AA22</f>
        <v>223.9255245248205</v>
      </c>
      <c r="D30" s="288">
        <f>Summary!AA45</f>
        <v>27259.92552452482</v>
      </c>
      <c r="E30" s="34">
        <f>'Operating Statement'!AA47</f>
        <v>70002</v>
      </c>
      <c r="F30" s="283" t="s">
        <v>270</v>
      </c>
      <c r="G30" s="210">
        <f t="shared" si="0"/>
        <v>7000.3651895451985</v>
      </c>
      <c r="H30" s="276">
        <f>'Operating Statement'!AA60</f>
        <v>21855.180320947922</v>
      </c>
      <c r="I30" s="80">
        <f>'Operating Statement'!AA80</f>
        <v>65.03334396323407</v>
      </c>
      <c r="J30" s="83">
        <f>'Operating Statement'!AA78</f>
        <v>1.0276959576160993</v>
      </c>
      <c r="K30" s="244">
        <v>5186</v>
      </c>
      <c r="L30" s="270">
        <v>7000</v>
      </c>
      <c r="M30" s="270"/>
    </row>
    <row r="31" spans="1:13" ht="12.75">
      <c r="A31" s="82" t="e">
        <f>#REF!</f>
        <v>#REF!</v>
      </c>
      <c r="B31" s="235">
        <f>'Operating Statement'!AB49</f>
        <v>6686.909467863131</v>
      </c>
      <c r="C31" s="288">
        <f>Summary!AB22</f>
        <v>-153.42696358187823</v>
      </c>
      <c r="D31" s="288">
        <f>Summary!AB45</f>
        <v>28264.57303641812</v>
      </c>
      <c r="E31" s="34">
        <f>'Operating Statement'!AB47</f>
        <v>68575</v>
      </c>
      <c r="F31" s="283" t="s">
        <v>271</v>
      </c>
      <c r="G31" s="210">
        <f t="shared" si="0"/>
        <v>3000.090532136869</v>
      </c>
      <c r="H31" s="276">
        <f>'Operating Statement'!AB60</f>
        <v>22478.1953063275</v>
      </c>
      <c r="I31" s="80">
        <f>'Operating Statement'!AB80</f>
        <v>236.29816153386128</v>
      </c>
      <c r="J31" s="83">
        <f>'Operating Statement'!AB78</f>
        <v>1.0225863008255036</v>
      </c>
      <c r="K31" s="244">
        <v>6687</v>
      </c>
      <c r="L31" s="270">
        <v>3000</v>
      </c>
      <c r="M31" s="270"/>
    </row>
    <row r="32" spans="1:13" ht="12.75">
      <c r="A32" s="82" t="e">
        <f>#REF!</f>
        <v>#REF!</v>
      </c>
      <c r="B32" s="235">
        <f>'Operating Statement'!AC49</f>
        <v>8062.343211145163</v>
      </c>
      <c r="C32" s="288">
        <f>Summary!AC22</f>
        <v>-189.86166198048159</v>
      </c>
      <c r="D32" s="288">
        <f>Summary!AC45</f>
        <v>29552.13833801952</v>
      </c>
      <c r="E32" s="34">
        <f>'Operating Statement'!AC47</f>
        <v>66142</v>
      </c>
      <c r="F32" s="283" t="s">
        <v>272</v>
      </c>
      <c r="G32" s="210">
        <f t="shared" si="0"/>
        <v>-0.343211145162968</v>
      </c>
      <c r="H32" s="276">
        <f>'Operating Statement'!AC60</f>
        <v>25327.57393890466</v>
      </c>
      <c r="I32" s="80">
        <f>'Operating Statement'!AC80</f>
        <v>2042.4914397528628</v>
      </c>
      <c r="J32" s="83">
        <f>'Operating Statement'!AC78</f>
        <v>1.0920506618092845</v>
      </c>
      <c r="K32" s="244">
        <v>8062</v>
      </c>
      <c r="L32" s="270">
        <v>0</v>
      </c>
      <c r="M32" s="270"/>
    </row>
    <row r="33" spans="1:13" ht="12.75">
      <c r="A33" s="82" t="e">
        <f>#REF!</f>
        <v>#REF!</v>
      </c>
      <c r="B33" s="235">
        <f>'Operating Statement'!AD49</f>
        <v>9391.797667928047</v>
      </c>
      <c r="C33" s="288">
        <f>Summary!AD22</f>
        <v>114.67728037858615</v>
      </c>
      <c r="D33" s="288">
        <f>Summary!AD45</f>
        <v>29758.677280378586</v>
      </c>
      <c r="E33" s="34">
        <f>'Operating Statement'!AD47</f>
        <v>70787</v>
      </c>
      <c r="F33" s="283" t="s">
        <v>273</v>
      </c>
      <c r="G33" s="210">
        <f t="shared" si="0"/>
        <v>0.20233207195269642</v>
      </c>
      <c r="H33" s="276">
        <f>'Operating Statement'!AD60</f>
        <v>25235.720309133805</v>
      </c>
      <c r="I33" s="80">
        <f>'Operating Statement'!AD80</f>
        <v>1452.514785083873</v>
      </c>
      <c r="J33" s="83">
        <f>'Operating Statement'!AD78</f>
        <v>1.1227480777117749</v>
      </c>
      <c r="K33" s="244">
        <v>9392</v>
      </c>
      <c r="L33" s="270">
        <v>0</v>
      </c>
      <c r="M33" s="270"/>
    </row>
    <row r="34" spans="1:13" ht="12.75">
      <c r="A34" s="82" t="e">
        <f>#REF!</f>
        <v>#REF!</v>
      </c>
      <c r="B34" s="235">
        <f>'Operating Statement'!AE49</f>
        <v>9087.528112840682</v>
      </c>
      <c r="C34" s="288">
        <f>Summary!AE22</f>
        <v>317.73360602761386</v>
      </c>
      <c r="D34" s="288">
        <f>Summary!AE45</f>
        <v>32887.733606027614</v>
      </c>
      <c r="E34" s="34">
        <f>'Operating Statement'!AE47</f>
        <v>68412</v>
      </c>
      <c r="F34" s="283" t="s">
        <v>274</v>
      </c>
      <c r="G34" s="210">
        <f t="shared" si="0"/>
        <v>-6999.528112840682</v>
      </c>
      <c r="H34" s="276">
        <f>'Operating Statement'!AE60</f>
        <v>25342.686757762414</v>
      </c>
      <c r="I34" s="80">
        <f>'Operating Statement'!AE80</f>
        <v>250.69586691936638</v>
      </c>
      <c r="J34" s="83">
        <f>'Operating Statement'!AE78</f>
        <v>1.1900915855127727</v>
      </c>
      <c r="K34" s="244">
        <v>9088</v>
      </c>
      <c r="L34" s="270">
        <v>-7000</v>
      </c>
      <c r="M34" s="270"/>
    </row>
    <row r="35" spans="1:13" ht="12.75">
      <c r="A35" s="82" t="e">
        <f>#REF!</f>
        <v>#REF!</v>
      </c>
      <c r="B35" s="235">
        <f>'Operating Statement'!AF49</f>
        <v>8057.113181983664</v>
      </c>
      <c r="C35" s="288">
        <f>Summary!AF22</f>
        <v>1165.0635275720851</v>
      </c>
      <c r="D35" s="288">
        <f>Summary!AF45</f>
        <v>30592.063527572085</v>
      </c>
      <c r="E35" s="34">
        <f>'Operating Statement'!AF47</f>
        <v>76013</v>
      </c>
      <c r="F35" s="283" t="s">
        <v>275</v>
      </c>
      <c r="G35" s="210">
        <f t="shared" si="0"/>
        <v>1999.8868180163363</v>
      </c>
      <c r="H35" s="276">
        <f>'Operating Statement'!AF60</f>
        <v>26249.15644425707</v>
      </c>
      <c r="I35" s="80">
        <f>'Operating Statement'!AF80</f>
        <v>741.1772595571965</v>
      </c>
      <c r="J35" s="83">
        <f>'Operating Statement'!AF78</f>
        <v>0.6896949669228335</v>
      </c>
      <c r="K35" s="244">
        <v>8057</v>
      </c>
      <c r="L35" s="270">
        <v>2000</v>
      </c>
      <c r="M35" s="270"/>
    </row>
    <row r="36" spans="1:13" ht="12.75">
      <c r="A36" s="82" t="e">
        <f>#REF!</f>
        <v>#REF!</v>
      </c>
      <c r="B36" s="235">
        <f>'Operating Statement'!AG49</f>
        <v>32101.403530802774</v>
      </c>
      <c r="C36" s="288">
        <f>Summary!AG22</f>
        <v>1971.5554211705457</v>
      </c>
      <c r="D36" s="288">
        <f>Summary!AG45</f>
        <v>28681.555421170546</v>
      </c>
      <c r="E36" s="34">
        <f>'Operating Statement'!AG47</f>
        <v>72444</v>
      </c>
      <c r="F36" s="283" t="s">
        <v>276</v>
      </c>
      <c r="G36" s="210">
        <f t="shared" si="0"/>
        <v>-2000.4035308027742</v>
      </c>
      <c r="H36" s="276">
        <f>'Operating Statement'!AG60</f>
        <v>26578.400641723794</v>
      </c>
      <c r="I36" s="80">
        <f>'Operating Statement'!AG80</f>
        <v>369.5562119375172</v>
      </c>
      <c r="J36" s="83">
        <f>'Operating Statement'!AG78</f>
        <v>1.1577063380494415</v>
      </c>
      <c r="K36" s="244">
        <v>32101</v>
      </c>
      <c r="L36" s="270">
        <v>-2000</v>
      </c>
      <c r="M36" s="270"/>
    </row>
    <row r="37" spans="1:13" ht="12.75">
      <c r="A37" s="82" t="e">
        <f>#REF!</f>
        <v>#REF!</v>
      </c>
      <c r="B37" s="235">
        <f>'Operating Statement'!AH49</f>
        <v>11337.217690774678</v>
      </c>
      <c r="C37" s="288">
        <f>Summary!AH22</f>
        <v>1309.466190576728</v>
      </c>
      <c r="D37" s="288">
        <f>Summary!AH45</f>
        <v>28175.466190576728</v>
      </c>
      <c r="E37" s="34">
        <f>'Operating Statement'!AH47</f>
        <v>70389</v>
      </c>
      <c r="F37" s="283" t="s">
        <v>277</v>
      </c>
      <c r="G37" s="210">
        <f t="shared" si="0"/>
        <v>-3000.217690774678</v>
      </c>
      <c r="H37" s="276">
        <f>'Operating Statement'!AH60</f>
        <v>29290.780375285598</v>
      </c>
      <c r="I37" s="80">
        <f>'Operating Statement'!AH80</f>
        <v>2237.076604057871</v>
      </c>
      <c r="J37" s="83">
        <f>'Operating Statement'!AH78</f>
        <v>1.2822227476923385</v>
      </c>
      <c r="K37" s="244">
        <v>11337</v>
      </c>
      <c r="L37" s="270">
        <v>-3000</v>
      </c>
      <c r="M37" s="270"/>
    </row>
    <row r="38" spans="1:13" ht="12.75">
      <c r="A38" s="82" t="e">
        <f>#REF!</f>
        <v>#REF!</v>
      </c>
      <c r="B38" s="235">
        <f>'Operating Statement'!AI49</f>
        <v>10913.890838660629</v>
      </c>
      <c r="C38" s="288">
        <f>Summary!AI22</f>
        <v>2124.7541199900734</v>
      </c>
      <c r="D38" s="288">
        <f>Summary!AI45</f>
        <v>32004.754119990073</v>
      </c>
      <c r="E38" s="34">
        <f>'Operating Statement'!AI47</f>
        <v>71082</v>
      </c>
      <c r="F38" s="283" t="s">
        <v>278</v>
      </c>
      <c r="G38" s="210">
        <f t="shared" si="0"/>
        <v>-10913.890838660629</v>
      </c>
      <c r="H38" s="276">
        <f>'Operating Statement'!AI60</f>
        <v>29134.036131055265</v>
      </c>
      <c r="I38" s="80">
        <f>'Operating Statement'!AI80</f>
        <v>1307.8324969516834</v>
      </c>
      <c r="J38" s="83">
        <f>'Operating Statement'!AI78</f>
        <v>1.3570116632194456</v>
      </c>
      <c r="K38" s="244">
        <v>0</v>
      </c>
      <c r="L38" s="270">
        <v>0</v>
      </c>
      <c r="M38" s="270"/>
    </row>
    <row r="39" spans="1:13" ht="12.75">
      <c r="A39" s="82" t="e">
        <f>#REF!</f>
        <v>#REF!</v>
      </c>
      <c r="B39" s="235">
        <f>'Operating Statement'!AJ49</f>
        <v>9666.458233181533</v>
      </c>
      <c r="C39" s="288">
        <f>Summary!AJ22</f>
        <v>3640.096493325138</v>
      </c>
      <c r="D39" s="288">
        <f>Summary!AJ45</f>
        <v>28684.096493325138</v>
      </c>
      <c r="E39" s="34">
        <f>'Operating Statement'!AJ47</f>
        <v>71127</v>
      </c>
      <c r="F39" s="283" t="s">
        <v>279</v>
      </c>
      <c r="G39" s="210">
        <f t="shared" si="0"/>
        <v>-9666.458233181533</v>
      </c>
      <c r="H39" s="276">
        <f>'Operating Statement'!AJ60</f>
        <v>28842.4158915046</v>
      </c>
      <c r="I39" s="80">
        <f>'Operating Statement'!AJ80</f>
        <v>-1082.8722435031523</v>
      </c>
      <c r="J39" s="83">
        <f>'Operating Statement'!AJ78</f>
        <v>1.4192658347129088</v>
      </c>
      <c r="K39" s="244">
        <v>0</v>
      </c>
      <c r="L39" s="270">
        <v>0</v>
      </c>
      <c r="M39" s="270"/>
    </row>
    <row r="40" spans="1:13" ht="12.75">
      <c r="A40" s="82" t="e">
        <f>#REF!</f>
        <v>#REF!</v>
      </c>
      <c r="B40" s="235">
        <f>'Operating Statement'!AK49</f>
        <v>8754.093905983074</v>
      </c>
      <c r="C40" s="288">
        <f>Summary!AK22</f>
        <v>5126.722800269548</v>
      </c>
      <c r="D40" s="288">
        <f>Summary!AK45</f>
        <v>28064.72280026955</v>
      </c>
      <c r="E40" s="34">
        <f>'Operating Statement'!AK47</f>
        <v>86559</v>
      </c>
      <c r="F40" s="283" t="s">
        <v>280</v>
      </c>
      <c r="G40" s="210">
        <f t="shared" si="0"/>
        <v>5999.906094016926</v>
      </c>
      <c r="H40" s="276">
        <f>'Operating Statement'!AK60</f>
        <v>30228.201992668222</v>
      </c>
      <c r="I40" s="80">
        <f>'Operating Statement'!AK80</f>
        <v>344.59394120717116</v>
      </c>
      <c r="J40" s="83">
        <f>'Operating Statement'!AK78</f>
        <v>1.4646251420482894</v>
      </c>
      <c r="K40" s="244">
        <v>8754</v>
      </c>
      <c r="L40" s="270">
        <v>6000</v>
      </c>
      <c r="M40" s="270"/>
    </row>
    <row r="41" spans="1:13" ht="12.75">
      <c r="A41" s="82" t="e">
        <f>#REF!</f>
        <v>#REF!</v>
      </c>
      <c r="B41" s="235">
        <f>'Operating Statement'!AL49</f>
        <v>9438.608196342193</v>
      </c>
      <c r="C41" s="288">
        <f>Summary!AL22</f>
        <v>5437.5639989565825</v>
      </c>
      <c r="D41" s="288">
        <f>Summary!AL45</f>
        <v>26692.563998956583</v>
      </c>
      <c r="E41" s="34">
        <f>'Operating Statement'!AL47</f>
        <v>74598</v>
      </c>
      <c r="F41" s="283" t="s">
        <v>281</v>
      </c>
      <c r="G41" s="210">
        <f t="shared" si="0"/>
        <v>-6999.608196342193</v>
      </c>
      <c r="H41" s="276">
        <f>'Operating Statement'!AL60</f>
        <v>31346.894185368546</v>
      </c>
      <c r="I41" s="80">
        <f>'Operating Statement'!AL80</f>
        <v>335.4042211580745</v>
      </c>
      <c r="J41" s="83">
        <f>'Operating Statement'!AL78</f>
        <v>1.5669211549806383</v>
      </c>
      <c r="K41" s="244">
        <v>9439</v>
      </c>
      <c r="L41" s="270">
        <v>-7000</v>
      </c>
      <c r="M41" s="270"/>
    </row>
    <row r="42" spans="1:13" ht="12.75">
      <c r="A42" s="82" t="e">
        <f>#REF!</f>
        <v>#REF!</v>
      </c>
      <c r="B42" s="235">
        <f>'Operating Statement'!AM49</f>
        <v>8788.65222165463</v>
      </c>
      <c r="C42" s="288">
        <f>Summary!AM22</f>
        <v>6869.682594863232</v>
      </c>
      <c r="D42" s="288">
        <f>Summary!AM45</f>
        <v>29047.682594863232</v>
      </c>
      <c r="E42" s="34">
        <f>'Operating Statement'!AM47</f>
        <v>77239</v>
      </c>
      <c r="F42" s="283" t="s">
        <v>282</v>
      </c>
      <c r="G42" s="210">
        <f t="shared" si="0"/>
        <v>-8788.65222165463</v>
      </c>
      <c r="H42" s="276">
        <f>'Operating Statement'!AM60</f>
        <v>32620.622956841846</v>
      </c>
      <c r="I42" s="80">
        <f>'Operating Statement'!AM80</f>
        <v>500.69208964117206</v>
      </c>
      <c r="J42" s="83">
        <f>'Operating Statement'!AM78</f>
        <v>1.6267289042628401</v>
      </c>
      <c r="K42" s="244">
        <v>0</v>
      </c>
      <c r="L42" s="270">
        <v>0</v>
      </c>
      <c r="M42" s="270"/>
    </row>
    <row r="43" spans="1:13" ht="12.75">
      <c r="A43" s="82" t="e">
        <f>#REF!</f>
        <v>#REF!</v>
      </c>
      <c r="B43" s="235">
        <f>'Operating Statement'!AN49</f>
        <v>9128.401579271274</v>
      </c>
      <c r="C43" s="288">
        <f>Summary!AN22</f>
        <v>8534.400145685708</v>
      </c>
      <c r="D43" s="288">
        <f>Summary!AN45</f>
        <v>31214.400145685708</v>
      </c>
      <c r="E43" s="34">
        <f>'Operating Statement'!AN47</f>
        <v>79298</v>
      </c>
      <c r="F43" s="283" t="s">
        <v>283</v>
      </c>
      <c r="G43" s="210">
        <f t="shared" si="0"/>
        <v>-9128.401579271274</v>
      </c>
      <c r="H43" s="276">
        <f>'Operating Statement'!AN60</f>
        <v>35980.01149020823</v>
      </c>
      <c r="I43" s="80">
        <f>'Operating Statement'!AN80</f>
        <v>2436.7430984604507</v>
      </c>
      <c r="J43" s="83">
        <f>'Operating Statement'!AN78</f>
        <v>1.8338766212679345</v>
      </c>
      <c r="K43" s="244">
        <v>0</v>
      </c>
      <c r="L43" s="270">
        <v>0</v>
      </c>
      <c r="M43" s="270"/>
    </row>
    <row r="44" spans="1:13" ht="12.75">
      <c r="A44" s="82" t="e">
        <f>#REF!</f>
        <v>#REF!</v>
      </c>
      <c r="B44" s="235">
        <f>'Operating Statement'!AO49</f>
        <v>8108.607258341021</v>
      </c>
      <c r="C44" s="288">
        <f>Summary!AO22</f>
        <v>10321.320588499657</v>
      </c>
      <c r="D44" s="288">
        <f>Summary!AO45</f>
        <v>33540.32058849966</v>
      </c>
      <c r="E44" s="34">
        <f>'Operating Statement'!AO47</f>
        <v>84648</v>
      </c>
      <c r="F44" s="283" t="s">
        <v>284</v>
      </c>
      <c r="G44" s="210">
        <f t="shared" si="0"/>
        <v>-8108.607258341021</v>
      </c>
      <c r="H44" s="276">
        <f>'Operating Statement'!AO60</f>
        <v>39745.01506402415</v>
      </c>
      <c r="I44" s="80">
        <f>'Operating Statement'!AO80</f>
        <v>4905.020858702097</v>
      </c>
      <c r="J44" s="83">
        <f>'Operating Statement'!AO78</f>
        <v>2.3648995954233647</v>
      </c>
      <c r="K44" s="244">
        <v>0</v>
      </c>
      <c r="L44" s="270">
        <v>0</v>
      </c>
      <c r="M44" s="270"/>
    </row>
    <row r="45" spans="1:13" ht="12.75">
      <c r="A45" s="82" t="e">
        <f>#REF!</f>
        <v>#REF!</v>
      </c>
      <c r="B45" s="235">
        <f>'Operating Statement'!AP49</f>
        <v>3519.2775304338634</v>
      </c>
      <c r="C45" s="288">
        <f>Summary!AP22</f>
        <v>12152.638826882874</v>
      </c>
      <c r="D45" s="288">
        <f>Summary!AP45</f>
        <v>35980.638826882874</v>
      </c>
      <c r="E45" s="34">
        <f>'Operating Statement'!AP47</f>
        <v>87883</v>
      </c>
      <c r="F45" s="283" t="s">
        <v>285</v>
      </c>
      <c r="G45" s="210">
        <f t="shared" si="0"/>
        <v>-3519.2775304338634</v>
      </c>
      <c r="H45" s="276">
        <f>'Operating Statement'!AP60</f>
        <v>49786.39237048339</v>
      </c>
      <c r="I45" s="80">
        <f>'Operating Statement'!AP80</f>
        <v>13204.398454895228</v>
      </c>
      <c r="J45" s="83">
        <f>'Operating Statement'!AP78</f>
        <v>2.9502848254769143</v>
      </c>
      <c r="K45" s="244">
        <v>0</v>
      </c>
      <c r="L45" s="270">
        <v>0</v>
      </c>
      <c r="M45" s="270"/>
    </row>
    <row r="46" spans="1:13" ht="12.75">
      <c r="A46" s="82" t="e">
        <f>#REF!</f>
        <v>#REF!</v>
      </c>
      <c r="B46" s="235">
        <f>'Operating Statement'!AQ49</f>
        <v>2350.058673814551</v>
      </c>
      <c r="C46" s="288">
        <f>Summary!AQ22</f>
        <v>13727.185120407143</v>
      </c>
      <c r="D46" s="288">
        <f>Summary!AQ45</f>
        <v>107496.18512040714</v>
      </c>
      <c r="E46" s="34">
        <f>'Operating Statement'!AQ47</f>
        <v>155180</v>
      </c>
      <c r="F46" s="283" t="s">
        <v>303</v>
      </c>
      <c r="G46" s="210">
        <f t="shared" si="0"/>
        <v>-2350.058673814551</v>
      </c>
      <c r="H46" s="276">
        <f>'Operating Statement'!AQ60</f>
        <v>67795.84592608019</v>
      </c>
      <c r="I46" s="80">
        <f>'Operating Statement'!AQ80</f>
        <v>29384.75231471262</v>
      </c>
      <c r="J46" s="83">
        <f>'Operating Statement'!AQ78</f>
        <v>3.754631303745518</v>
      </c>
      <c r="K46" s="244">
        <v>0</v>
      </c>
      <c r="L46" s="270">
        <v>0</v>
      </c>
      <c r="M46" s="270"/>
    </row>
    <row r="47" spans="1:10" ht="12.75">
      <c r="A47" s="84"/>
      <c r="B47" s="81"/>
      <c r="C47" s="81"/>
      <c r="D47" s="81"/>
      <c r="E47" s="81"/>
      <c r="F47" s="79"/>
      <c r="G47" s="211"/>
      <c r="H47" s="80"/>
      <c r="I47" s="274"/>
      <c r="J47" s="85"/>
    </row>
    <row r="48" spans="1:10" ht="12.75">
      <c r="A48" s="84"/>
      <c r="B48" s="81"/>
      <c r="C48" s="81"/>
      <c r="D48" s="81"/>
      <c r="E48" s="81"/>
      <c r="F48" s="79"/>
      <c r="G48" s="210">
        <f>SUM(G26:G47)</f>
        <v>-27474.84486080646</v>
      </c>
      <c r="H48" s="80"/>
      <c r="I48" s="274"/>
      <c r="J48" s="85"/>
    </row>
    <row r="49" spans="1:13" ht="13.5" thickBot="1">
      <c r="A49" s="89"/>
      <c r="B49" s="90"/>
      <c r="C49" s="90"/>
      <c r="D49" s="90"/>
      <c r="E49" s="90"/>
      <c r="F49" s="90"/>
      <c r="G49" s="212"/>
      <c r="H49" s="90"/>
      <c r="I49" s="275"/>
      <c r="J49" s="91"/>
      <c r="L49" s="246">
        <f>SUM(L27:L48)</f>
        <v>10000</v>
      </c>
      <c r="M49" s="246"/>
    </row>
  </sheetData>
  <sheetProtection/>
  <mergeCells count="1">
    <mergeCell ref="A22:J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Q80"/>
  <sheetViews>
    <sheetView zoomScalePageLayoutView="0" workbookViewId="0" topLeftCell="A1">
      <pane xSplit="1" ySplit="5" topLeftCell="R6" activePane="bottomRight" state="frozen"/>
      <selection pane="topLeft" activeCell="U49" sqref="U49"/>
      <selection pane="topRight" activeCell="U49" sqref="U49"/>
      <selection pane="bottomLeft" activeCell="U49" sqref="U49"/>
      <selection pane="bottomRight" activeCell="X17" sqref="X17"/>
    </sheetView>
  </sheetViews>
  <sheetFormatPr defaultColWidth="12.83203125" defaultRowHeight="12.75"/>
  <cols>
    <col min="1" max="1" width="62" style="1" bestFit="1" customWidth="1"/>
    <col min="2" max="8" width="12.83203125" style="1" customWidth="1"/>
    <col min="9" max="10" width="11" style="1" customWidth="1"/>
    <col min="11" max="14" width="14.33203125" style="1" customWidth="1"/>
    <col min="15" max="16" width="12.83203125" style="1" customWidth="1"/>
    <col min="17" max="19" width="13" style="1" customWidth="1"/>
    <col min="20" max="42" width="12.83203125" style="1" customWidth="1"/>
    <col min="43" max="16384" width="12.83203125" style="1" customWidth="1"/>
  </cols>
  <sheetData>
    <row r="1" spans="1:34" ht="19.5">
      <c r="A1" s="224" t="s">
        <v>9</v>
      </c>
      <c r="B1" s="9" t="s">
        <v>242</v>
      </c>
      <c r="C1" s="9"/>
      <c r="D1" s="9"/>
      <c r="E1" s="32"/>
      <c r="F1" s="9"/>
      <c r="G1" s="9">
        <f>V53</f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" ht="17.25">
      <c r="A2" s="225" t="s">
        <v>104</v>
      </c>
      <c r="B2" s="10"/>
      <c r="C2" s="10"/>
      <c r="D2" s="10"/>
      <c r="E2" s="10"/>
      <c r="F2" s="10"/>
      <c r="G2" s="10"/>
    </row>
    <row r="3" spans="1:43" ht="12.75">
      <c r="A3" s="229"/>
      <c r="B3" s="8" t="s">
        <v>128</v>
      </c>
      <c r="C3" s="8" t="s">
        <v>129</v>
      </c>
      <c r="D3" s="8" t="s">
        <v>130</v>
      </c>
      <c r="E3" s="8" t="s">
        <v>131</v>
      </c>
      <c r="F3" s="5" t="s">
        <v>132</v>
      </c>
      <c r="G3" s="8" t="s">
        <v>126</v>
      </c>
      <c r="H3" s="5" t="s">
        <v>106</v>
      </c>
      <c r="I3" s="4" t="s">
        <v>105</v>
      </c>
      <c r="J3" s="4" t="s">
        <v>107</v>
      </c>
      <c r="K3" s="4" t="s">
        <v>108</v>
      </c>
      <c r="L3" s="4" t="s">
        <v>109</v>
      </c>
      <c r="M3" s="4" t="s">
        <v>110</v>
      </c>
      <c r="N3" s="4" t="s">
        <v>111</v>
      </c>
      <c r="O3" s="6" t="s">
        <v>112</v>
      </c>
      <c r="P3" s="26" t="s">
        <v>113</v>
      </c>
      <c r="Q3" s="26" t="s">
        <v>114</v>
      </c>
      <c r="R3" s="26" t="s">
        <v>117</v>
      </c>
      <c r="S3" s="26" t="s">
        <v>118</v>
      </c>
      <c r="T3" s="4" t="s">
        <v>127</v>
      </c>
      <c r="U3" s="4" t="s">
        <v>145</v>
      </c>
      <c r="V3" s="11" t="s">
        <v>146</v>
      </c>
      <c r="W3" s="4" t="s">
        <v>147</v>
      </c>
      <c r="X3" s="6" t="s">
        <v>148</v>
      </c>
      <c r="Y3" s="5" t="s">
        <v>149</v>
      </c>
      <c r="Z3" s="5" t="s">
        <v>150</v>
      </c>
      <c r="AA3" s="5" t="s">
        <v>151</v>
      </c>
      <c r="AB3" s="5" t="s">
        <v>152</v>
      </c>
      <c r="AC3" s="5" t="s">
        <v>153</v>
      </c>
      <c r="AD3" s="8" t="s">
        <v>154</v>
      </c>
      <c r="AE3" s="8" t="s">
        <v>177</v>
      </c>
      <c r="AF3" s="8" t="s">
        <v>178</v>
      </c>
      <c r="AG3" s="8" t="s">
        <v>182</v>
      </c>
      <c r="AH3" s="8" t="s">
        <v>183</v>
      </c>
      <c r="AI3" s="8" t="s">
        <v>191</v>
      </c>
      <c r="AJ3" s="8" t="s">
        <v>219</v>
      </c>
      <c r="AK3" s="8" t="s">
        <v>220</v>
      </c>
      <c r="AL3" s="8" t="s">
        <v>221</v>
      </c>
      <c r="AM3" s="8" t="s">
        <v>222</v>
      </c>
      <c r="AN3" s="8" t="s">
        <v>223</v>
      </c>
      <c r="AO3" s="8" t="s">
        <v>224</v>
      </c>
      <c r="AP3" s="8" t="s">
        <v>244</v>
      </c>
      <c r="AQ3" s="8" t="s">
        <v>479</v>
      </c>
    </row>
    <row r="4" spans="1:43" ht="12.75">
      <c r="A4" s="22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  <c r="P4" s="26"/>
      <c r="Q4" s="26"/>
      <c r="R4" s="26"/>
      <c r="S4" s="26"/>
      <c r="T4" s="26"/>
      <c r="U4" s="26"/>
      <c r="V4" s="27"/>
      <c r="W4" s="27" t="s">
        <v>167</v>
      </c>
      <c r="X4" s="27" t="s">
        <v>171</v>
      </c>
      <c r="Y4" s="27" t="s">
        <v>172</v>
      </c>
      <c r="Z4" s="27" t="s">
        <v>173</v>
      </c>
      <c r="AA4" s="27" t="s">
        <v>174</v>
      </c>
      <c r="AB4" s="27" t="s">
        <v>175</v>
      </c>
      <c r="AC4" s="27" t="s">
        <v>176</v>
      </c>
      <c r="AD4" s="27" t="s">
        <v>0</v>
      </c>
      <c r="AE4" s="27" t="s">
        <v>1</v>
      </c>
      <c r="AF4" s="27" t="s">
        <v>2</v>
      </c>
      <c r="AG4" s="27" t="s">
        <v>3</v>
      </c>
      <c r="AH4" s="27" t="s">
        <v>4</v>
      </c>
      <c r="AI4" s="27" t="s">
        <v>5</v>
      </c>
      <c r="AJ4" s="27" t="s">
        <v>6</v>
      </c>
      <c r="AK4" s="27" t="s">
        <v>7</v>
      </c>
      <c r="AL4" s="27" t="s">
        <v>8</v>
      </c>
      <c r="AM4" s="27" t="s">
        <v>226</v>
      </c>
      <c r="AN4" s="27" t="s">
        <v>227</v>
      </c>
      <c r="AO4" s="27" t="s">
        <v>228</v>
      </c>
      <c r="AP4" s="27" t="s">
        <v>229</v>
      </c>
      <c r="AQ4" s="27" t="s">
        <v>230</v>
      </c>
    </row>
    <row r="5" spans="1:43" ht="12.75">
      <c r="A5" s="229"/>
      <c r="B5" s="5" t="s">
        <v>20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28" t="s">
        <v>20</v>
      </c>
      <c r="J5" s="28" t="s">
        <v>20</v>
      </c>
      <c r="K5" s="28" t="s">
        <v>20</v>
      </c>
      <c r="L5" s="28" t="s">
        <v>20</v>
      </c>
      <c r="M5" s="28" t="s">
        <v>20</v>
      </c>
      <c r="N5" s="28" t="s">
        <v>20</v>
      </c>
      <c r="O5" s="28" t="s">
        <v>20</v>
      </c>
      <c r="P5" s="29" t="s">
        <v>20</v>
      </c>
      <c r="Q5" s="29" t="s">
        <v>20</v>
      </c>
      <c r="R5" s="29" t="s">
        <v>20</v>
      </c>
      <c r="S5" s="29" t="s">
        <v>20</v>
      </c>
      <c r="T5" s="29" t="s">
        <v>20</v>
      </c>
      <c r="U5" s="29" t="s">
        <v>20</v>
      </c>
      <c r="V5" s="29" t="s">
        <v>20</v>
      </c>
      <c r="W5" s="30" t="s">
        <v>20</v>
      </c>
      <c r="X5" s="28" t="s">
        <v>20</v>
      </c>
      <c r="Y5" s="28" t="s">
        <v>20</v>
      </c>
      <c r="Z5" s="28" t="s">
        <v>20</v>
      </c>
      <c r="AA5" s="28" t="s">
        <v>20</v>
      </c>
      <c r="AB5" s="5" t="s">
        <v>20</v>
      </c>
      <c r="AC5" s="5" t="s">
        <v>20</v>
      </c>
      <c r="AD5" s="5" t="s">
        <v>20</v>
      </c>
      <c r="AE5" s="5" t="s">
        <v>20</v>
      </c>
      <c r="AF5" s="5" t="s">
        <v>20</v>
      </c>
      <c r="AG5" s="5" t="s">
        <v>20</v>
      </c>
      <c r="AH5" s="5" t="s">
        <v>20</v>
      </c>
      <c r="AI5" s="5" t="s">
        <v>20</v>
      </c>
      <c r="AJ5" s="5" t="s">
        <v>20</v>
      </c>
      <c r="AK5" s="5" t="s">
        <v>20</v>
      </c>
      <c r="AL5" s="5" t="s">
        <v>20</v>
      </c>
      <c r="AM5" s="5" t="s">
        <v>20</v>
      </c>
      <c r="AN5" s="5" t="s">
        <v>20</v>
      </c>
      <c r="AO5" s="5" t="s">
        <v>20</v>
      </c>
      <c r="AP5" s="5" t="s">
        <v>20</v>
      </c>
      <c r="AQ5" s="5" t="s">
        <v>20</v>
      </c>
    </row>
    <row r="6" spans="1:43" ht="12.75">
      <c r="A6" s="228" t="s">
        <v>22</v>
      </c>
      <c r="B6" s="219">
        <f>'Operating Statement'!B13</f>
        <v>22074</v>
      </c>
      <c r="C6" s="219">
        <f>'Operating Statement'!C13</f>
        <v>18427</v>
      </c>
      <c r="D6" s="219">
        <f>'Operating Statement'!D13</f>
        <v>14112</v>
      </c>
      <c r="E6" s="219">
        <f>'Operating Statement'!E13</f>
        <v>20493</v>
      </c>
      <c r="F6" s="219">
        <f>'Operating Statement'!F13</f>
        <v>22364</v>
      </c>
      <c r="G6" s="219">
        <f>'Operating Statement'!G13</f>
        <v>23889</v>
      </c>
      <c r="H6" s="219">
        <f>'Operating Statement'!H13</f>
        <v>27169</v>
      </c>
      <c r="I6" s="219">
        <f>'Operating Statement'!I13</f>
        <v>28516</v>
      </c>
      <c r="J6" s="219">
        <f>'Operating Statement'!J13</f>
        <v>31450</v>
      </c>
      <c r="K6" s="219">
        <f>'Operating Statement'!K13</f>
        <v>34600</v>
      </c>
      <c r="L6" s="219">
        <f>'Operating Statement'!L13</f>
        <v>36834</v>
      </c>
      <c r="M6" s="219">
        <f>'Operating Statement'!M13</f>
        <v>40120</v>
      </c>
      <c r="N6" s="219">
        <f>'Operating Statement'!N13</f>
        <v>44110</v>
      </c>
      <c r="O6" s="219">
        <f>'Operating Statement'!O13</f>
        <v>48628</v>
      </c>
      <c r="P6" s="219">
        <f>'Operating Statement'!P13</f>
        <v>53364</v>
      </c>
      <c r="Q6" s="219">
        <f>'Operating Statement'!Q13</f>
        <v>56971</v>
      </c>
      <c r="R6" s="219">
        <f>'Operating Statement'!R13</f>
        <v>61055</v>
      </c>
      <c r="S6" s="219">
        <f>'Operating Statement'!S13</f>
        <v>64498</v>
      </c>
      <c r="T6" s="219">
        <f>'Operating Statement'!T13</f>
        <v>68752</v>
      </c>
      <c r="U6" s="219">
        <f>'Operating Statement'!U13</f>
        <v>74906</v>
      </c>
      <c r="V6" s="219">
        <f>'Operating Statement'!V13</f>
        <v>91002</v>
      </c>
      <c r="W6" s="219">
        <f>'Operating Statement'!W13</f>
        <v>98170</v>
      </c>
      <c r="X6" s="219">
        <f>'Operating Statement'!X13</f>
        <v>104637</v>
      </c>
      <c r="Y6" s="219">
        <f>'Operating Statement'!Y13</f>
        <v>109973.487</v>
      </c>
      <c r="Z6" s="219">
        <f>'Operating Statement'!Z13</f>
        <v>115582.13483699999</v>
      </c>
      <c r="AA6" s="219">
        <f>'Operating Statement'!AA13</f>
        <v>121476.82371368699</v>
      </c>
      <c r="AB6" s="219">
        <f>'Operating Statement'!AB13</f>
        <v>127672.14172308502</v>
      </c>
      <c r="AC6" s="219">
        <f>'Operating Statement'!AC13</f>
        <v>134183.42095096235</v>
      </c>
      <c r="AD6" s="219">
        <f>'Operating Statement'!AD13</f>
        <v>141026.77541946142</v>
      </c>
      <c r="AE6" s="219">
        <f>'Operating Statement'!AE13</f>
        <v>148219.14096585393</v>
      </c>
      <c r="AF6" s="219">
        <f>'Operating Statement'!AF13</f>
        <v>155778.31715511248</v>
      </c>
      <c r="AG6" s="219">
        <f>'Operating Statement'!AG13</f>
        <v>163723.0113300232</v>
      </c>
      <c r="AH6" s="219">
        <f>'Operating Statement'!AH13</f>
        <v>172072.88490785437</v>
      </c>
      <c r="AI6" s="219">
        <f>'Operating Statement'!AI13</f>
        <v>180848.60203815493</v>
      </c>
      <c r="AJ6" s="219">
        <f>'Operating Statement'!AJ13</f>
        <v>190071.88074210082</v>
      </c>
      <c r="AK6" s="219">
        <f>'Operating Statement'!AK13</f>
        <v>199765.54665994796</v>
      </c>
      <c r="AL6" s="219">
        <f>'Operating Statement'!AL13</f>
        <v>209953.58953960528</v>
      </c>
      <c r="AM6" s="219">
        <f>'Operating Statement'!AM13</f>
        <v>220661.22260612514</v>
      </c>
      <c r="AN6" s="219">
        <f>'Operating Statement'!AN13</f>
        <v>231914.9449590375</v>
      </c>
      <c r="AO6" s="219">
        <f>'Operating Statement'!AO13</f>
        <v>243742.6071519484</v>
      </c>
      <c r="AP6" s="219">
        <f>'Operating Statement'!AP13</f>
        <v>256173.48011669776</v>
      </c>
      <c r="AQ6" s="219">
        <f>'Operating Statement'!AQ13</f>
        <v>269238.32760264934</v>
      </c>
    </row>
    <row r="7" spans="1:43" ht="12.75">
      <c r="A7" s="228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</row>
    <row r="8" spans="1:43" ht="12.75">
      <c r="A8" s="228" t="s">
        <v>186</v>
      </c>
      <c r="B8" s="220">
        <f>'Operating Statement'!B16</f>
        <v>10213</v>
      </c>
      <c r="C8" s="220">
        <f>'Operating Statement'!C16</f>
        <v>13888</v>
      </c>
      <c r="D8" s="220">
        <f>'Operating Statement'!D16</f>
        <v>13623</v>
      </c>
      <c r="E8" s="220">
        <f>'Operating Statement'!E16</f>
        <v>14336</v>
      </c>
      <c r="F8" s="220">
        <f>'Operating Statement'!F16</f>
        <v>13465</v>
      </c>
      <c r="G8" s="220">
        <f>'Operating Statement'!G16</f>
        <v>13456</v>
      </c>
      <c r="H8" s="220">
        <f>'Operating Statement'!H16</f>
        <v>16851</v>
      </c>
      <c r="I8" s="220">
        <f>'Operating Statement'!I16</f>
        <v>17271</v>
      </c>
      <c r="J8" s="220">
        <f>'Operating Statement'!J16</f>
        <v>15764</v>
      </c>
      <c r="K8" s="220">
        <f>'Operating Statement'!K16</f>
        <v>13661</v>
      </c>
      <c r="L8" s="220">
        <f>'Operating Statement'!L16</f>
        <v>16467</v>
      </c>
      <c r="M8" s="220">
        <f>'Operating Statement'!M16</f>
        <v>15852</v>
      </c>
      <c r="N8" s="220">
        <f>'Operating Statement'!N16</f>
        <v>17927</v>
      </c>
      <c r="O8" s="220">
        <f>'Operating Statement'!O16</f>
        <v>20103</v>
      </c>
      <c r="P8" s="220">
        <f>'Operating Statement'!P16</f>
        <v>20749</v>
      </c>
      <c r="Q8" s="220">
        <f>'Operating Statement'!Q16</f>
        <v>20253</v>
      </c>
      <c r="R8" s="220">
        <f>'Operating Statement'!R16</f>
        <v>22332</v>
      </c>
      <c r="S8" s="220">
        <f>'Operating Statement'!S16</f>
        <v>26734</v>
      </c>
      <c r="T8" s="220">
        <f>'Operating Statement'!T16</f>
        <v>22601</v>
      </c>
      <c r="U8" s="220">
        <f>'Operating Statement'!U16</f>
        <v>18020</v>
      </c>
      <c r="V8" s="220">
        <f>'Operating Statement'!V16</f>
        <v>30686</v>
      </c>
      <c r="W8" s="220">
        <f>'Operating Statement'!W16</f>
        <v>18296</v>
      </c>
      <c r="X8" s="220">
        <f>'Operating Statement'!X16</f>
        <v>23730</v>
      </c>
      <c r="Y8" s="220">
        <f>'Operating Statement'!Y16</f>
        <v>24323.249999999996</v>
      </c>
      <c r="Z8" s="220">
        <f>'Operating Statement'!Z16</f>
        <v>24931.331249999996</v>
      </c>
      <c r="AA8" s="220">
        <f>'Operating Statement'!AA16</f>
        <v>25554.614531249994</v>
      </c>
      <c r="AB8" s="220">
        <f>'Operating Statement'!AB16</f>
        <v>26193.479894531243</v>
      </c>
      <c r="AC8" s="220">
        <f>'Operating Statement'!AC16</f>
        <v>26848.316891894523</v>
      </c>
      <c r="AD8" s="220">
        <f>'Operating Statement'!AD16</f>
        <v>27519.524814191882</v>
      </c>
      <c r="AE8" s="220">
        <f>'Operating Statement'!AE16</f>
        <v>28207.512934546678</v>
      </c>
      <c r="AF8" s="220">
        <f>'Operating Statement'!AF16</f>
        <v>28912.70075791034</v>
      </c>
      <c r="AG8" s="220">
        <f>'Operating Statement'!AG16</f>
        <v>29635.518276858096</v>
      </c>
      <c r="AH8" s="220">
        <f>'Operating Statement'!AH16</f>
        <v>30376.406233779548</v>
      </c>
      <c r="AI8" s="220">
        <f>'Operating Statement'!AI16</f>
        <v>31135.816389624033</v>
      </c>
      <c r="AJ8" s="220">
        <f>'Operating Statement'!AJ16</f>
        <v>31914.21179936463</v>
      </c>
      <c r="AK8" s="220">
        <f>'Operating Statement'!AK16</f>
        <v>32712.067094348746</v>
      </c>
      <c r="AL8" s="220">
        <f>'Operating Statement'!AL16</f>
        <v>33529.868771707464</v>
      </c>
      <c r="AM8" s="220">
        <f>'Operating Statement'!AM16</f>
        <v>34368.11549100015</v>
      </c>
      <c r="AN8" s="220">
        <f>'Operating Statement'!AN16</f>
        <v>35227.31837827515</v>
      </c>
      <c r="AO8" s="220">
        <f>'Operating Statement'!AO16</f>
        <v>36108.00133773203</v>
      </c>
      <c r="AP8" s="220">
        <f>'Operating Statement'!AP16</f>
        <v>37010.701371175324</v>
      </c>
      <c r="AQ8" s="220">
        <f>'Operating Statement'!AQ16</f>
        <v>37935.968905454705</v>
      </c>
    </row>
    <row r="9" spans="1:43" ht="12.75">
      <c r="A9" s="228" t="s">
        <v>251</v>
      </c>
      <c r="B9" s="219">
        <f>'Operating Statement'!B15</f>
        <v>0</v>
      </c>
      <c r="C9" s="219">
        <f>'Operating Statement'!C15</f>
        <v>0</v>
      </c>
      <c r="D9" s="219">
        <f>'Operating Statement'!D15</f>
        <v>0</v>
      </c>
      <c r="E9" s="219">
        <f>'Operating Statement'!E15</f>
        <v>0</v>
      </c>
      <c r="F9" s="219">
        <f>'Operating Statement'!F15</f>
        <v>0</v>
      </c>
      <c r="G9" s="219">
        <f>'Operating Statement'!G15</f>
        <v>0</v>
      </c>
      <c r="H9" s="219">
        <f>'Operating Statement'!H15</f>
        <v>0</v>
      </c>
      <c r="I9" s="219">
        <f>'Operating Statement'!I15</f>
        <v>0</v>
      </c>
      <c r="J9" s="219">
        <f>'Operating Statement'!J15</f>
        <v>0</v>
      </c>
      <c r="K9" s="219">
        <f>'Operating Statement'!K15</f>
        <v>0</v>
      </c>
      <c r="L9" s="219">
        <f>'Operating Statement'!L15</f>
        <v>0</v>
      </c>
      <c r="M9" s="219">
        <f>'Operating Statement'!M15</f>
        <v>0</v>
      </c>
      <c r="N9" s="219">
        <f>'Operating Statement'!N15</f>
        <v>0</v>
      </c>
      <c r="O9" s="219">
        <f>'Operating Statement'!O15</f>
        <v>0</v>
      </c>
      <c r="P9" s="219">
        <f>'Operating Statement'!P15</f>
        <v>0</v>
      </c>
      <c r="Q9" s="219">
        <f>'Operating Statement'!Q15</f>
        <v>0</v>
      </c>
      <c r="R9" s="219">
        <f>'Operating Statement'!R15</f>
        <v>0</v>
      </c>
      <c r="S9" s="219">
        <f>'Operating Statement'!S15</f>
        <v>0</v>
      </c>
      <c r="T9" s="219">
        <f>'Operating Statement'!T15</f>
        <v>0</v>
      </c>
      <c r="U9" s="219">
        <f>'Operating Statement'!U15</f>
        <v>0</v>
      </c>
      <c r="V9" s="219">
        <f>'Operating Statement'!V15</f>
        <v>24168</v>
      </c>
      <c r="W9" s="219">
        <f>'Operating Statement'!W15</f>
        <v>25218</v>
      </c>
      <c r="X9" s="219">
        <f>'Operating Statement'!X15</f>
        <v>25046</v>
      </c>
      <c r="Y9" s="219">
        <f>'Operating Statement'!Y15</f>
        <v>25421.69</v>
      </c>
      <c r="Z9" s="219">
        <f>'Operating Statement'!Z15</f>
        <v>25803.015349999998</v>
      </c>
      <c r="AA9" s="219">
        <f>'Operating Statement'!AA15</f>
        <v>26190.060580249996</v>
      </c>
      <c r="AB9" s="219">
        <f>'Operating Statement'!AB15</f>
        <v>26582.911488953745</v>
      </c>
      <c r="AC9" s="219">
        <f>'Operating Statement'!AC15</f>
        <v>26981.65516128805</v>
      </c>
      <c r="AD9" s="219">
        <f>'Operating Statement'!AD15</f>
        <v>27386.37998870737</v>
      </c>
      <c r="AE9" s="219">
        <f>'Operating Statement'!AE15</f>
        <v>27797.175688537976</v>
      </c>
      <c r="AF9" s="219">
        <f>'Operating Statement'!AF15</f>
        <v>28214.133323866045</v>
      </c>
      <c r="AG9" s="219">
        <f>'Operating Statement'!AG15</f>
        <v>28637.345323724032</v>
      </c>
      <c r="AH9" s="219">
        <f>'Operating Statement'!AH15</f>
        <v>29066.90550357989</v>
      </c>
      <c r="AI9" s="219">
        <f>'Operating Statement'!AI15</f>
        <v>29502.909086133583</v>
      </c>
      <c r="AJ9" s="219">
        <f>'Operating Statement'!AJ15</f>
        <v>29945.452722425583</v>
      </c>
      <c r="AK9" s="219">
        <f>'Operating Statement'!AK15</f>
        <v>30394.634513261964</v>
      </c>
      <c r="AL9" s="219">
        <f>'Operating Statement'!AL15</f>
        <v>30850.55403096089</v>
      </c>
      <c r="AM9" s="219">
        <f>'Operating Statement'!AM15</f>
        <v>31313.312341425302</v>
      </c>
      <c r="AN9" s="219">
        <f>'Operating Statement'!AN15</f>
        <v>31783.01202654668</v>
      </c>
      <c r="AO9" s="219">
        <f>'Operating Statement'!AO15</f>
        <v>32259.757206944876</v>
      </c>
      <c r="AP9" s="219">
        <f>'Operating Statement'!AP15</f>
        <v>32743.653565049048</v>
      </c>
      <c r="AQ9" s="219">
        <f>'Operating Statement'!AQ15</f>
        <v>33234.808368524784</v>
      </c>
    </row>
    <row r="10" spans="1:43" ht="12.75">
      <c r="A10" s="228" t="s">
        <v>217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>
        <f aca="true" t="shared" si="0" ref="X10:AQ10">(X9-W9)/W9</f>
        <v>-0.006820525021809819</v>
      </c>
      <c r="Y10" s="222">
        <f t="shared" si="0"/>
        <v>0.014999999999999947</v>
      </c>
      <c r="Z10" s="222">
        <f t="shared" si="0"/>
        <v>0.014999999999999968</v>
      </c>
      <c r="AA10" s="222">
        <f t="shared" si="0"/>
        <v>0.014999999999999923</v>
      </c>
      <c r="AB10" s="222">
        <f t="shared" si="0"/>
        <v>0.01499999999999997</v>
      </c>
      <c r="AC10" s="222">
        <f t="shared" si="0"/>
        <v>0.014999999999999966</v>
      </c>
      <c r="AD10" s="222">
        <f t="shared" si="0"/>
        <v>0.014999999999999932</v>
      </c>
      <c r="AE10" s="222">
        <f t="shared" si="0"/>
        <v>0.014999999999999878</v>
      </c>
      <c r="AF10" s="222">
        <f t="shared" si="0"/>
        <v>0.014999999999999946</v>
      </c>
      <c r="AG10" s="222">
        <f t="shared" si="0"/>
        <v>0.014999999999999883</v>
      </c>
      <c r="AH10" s="222">
        <f t="shared" si="0"/>
        <v>0.014999999999999857</v>
      </c>
      <c r="AI10" s="222">
        <f t="shared" si="0"/>
        <v>0.01499999999999986</v>
      </c>
      <c r="AJ10" s="222">
        <f t="shared" si="0"/>
        <v>0.014999999999999904</v>
      </c>
      <c r="AK10" s="222">
        <f t="shared" si="0"/>
        <v>0.014999999999999908</v>
      </c>
      <c r="AL10" s="222">
        <f t="shared" si="0"/>
        <v>0.014999999999999916</v>
      </c>
      <c r="AM10" s="222">
        <f t="shared" si="0"/>
        <v>0.01499999999999992</v>
      </c>
      <c r="AN10" s="222">
        <f t="shared" si="0"/>
        <v>0.014999999999999923</v>
      </c>
      <c r="AO10" s="222">
        <f t="shared" si="0"/>
        <v>0.01499999999999989</v>
      </c>
      <c r="AP10" s="222">
        <f t="shared" si="0"/>
        <v>0.014999999999999954</v>
      </c>
      <c r="AQ10" s="222">
        <f t="shared" si="0"/>
        <v>0.015000000000000012</v>
      </c>
    </row>
    <row r="11" spans="1:43" ht="12.75">
      <c r="A11" s="228" t="s">
        <v>92</v>
      </c>
      <c r="B11" s="219">
        <f>'Operating Statement'!B27</f>
        <v>47944</v>
      </c>
      <c r="C11" s="219">
        <f>'Operating Statement'!C27</f>
        <v>52676</v>
      </c>
      <c r="D11" s="219">
        <f>'Operating Statement'!D27</f>
        <v>44121</v>
      </c>
      <c r="E11" s="219">
        <f>'Operating Statement'!E27</f>
        <v>57855</v>
      </c>
      <c r="F11" s="219">
        <f>'Operating Statement'!F27</f>
        <v>61915</v>
      </c>
      <c r="G11" s="219">
        <f>'Operating Statement'!G27</f>
        <v>61439</v>
      </c>
      <c r="H11" s="219">
        <f>'Operating Statement'!H27</f>
        <v>77547</v>
      </c>
      <c r="I11" s="219">
        <f>'Operating Statement'!I27</f>
        <v>82459</v>
      </c>
      <c r="J11" s="219">
        <f>'Operating Statement'!J27</f>
        <v>90641</v>
      </c>
      <c r="K11" s="219">
        <f>'Operating Statement'!K27</f>
        <v>106589</v>
      </c>
      <c r="L11" s="219">
        <f>'Operating Statement'!L27</f>
        <v>101467</v>
      </c>
      <c r="M11" s="219">
        <f>'Operating Statement'!M27</f>
        <v>98068</v>
      </c>
      <c r="N11" s="219">
        <f>'Operating Statement'!N27</f>
        <v>106503</v>
      </c>
      <c r="O11" s="219">
        <f>'Operating Statement'!O27</f>
        <v>117976</v>
      </c>
      <c r="P11" s="219">
        <f>'Operating Statement'!P27</f>
        <v>131739</v>
      </c>
      <c r="Q11" s="219">
        <f>'Operating Statement'!Q27</f>
        <v>136286</v>
      </c>
      <c r="R11" s="219">
        <f>'Operating Statement'!R27</f>
        <v>140211</v>
      </c>
      <c r="S11" s="219">
        <f>'Operating Statement'!S27</f>
        <v>154573</v>
      </c>
      <c r="T11" s="219">
        <f>'Operating Statement'!T27</f>
        <v>165300</v>
      </c>
      <c r="U11" s="219">
        <f>'Operating Statement'!U27</f>
        <v>162263</v>
      </c>
      <c r="V11" s="219">
        <f>'Operating Statement'!V27</f>
        <v>192799</v>
      </c>
      <c r="W11" s="219">
        <f>'Operating Statement'!W27</f>
        <v>203314</v>
      </c>
      <c r="X11" s="219">
        <f>'Operating Statement'!X27</f>
        <v>189900</v>
      </c>
      <c r="Y11" s="219">
        <f>'Operating Statement'!Y27</f>
        <v>198371.382</v>
      </c>
      <c r="Z11" s="219">
        <f>'Operating Statement'!Z27</f>
        <v>205199.63761199996</v>
      </c>
      <c r="AA11" s="219">
        <f>'Operating Statement'!AA27</f>
        <v>212315.22822756198</v>
      </c>
      <c r="AB11" s="219">
        <f>'Operating Statement'!AB27</f>
        <v>221171.33676023438</v>
      </c>
      <c r="AC11" s="219">
        <f>'Operating Statement'!AC27</f>
        <v>230312.9040755432</v>
      </c>
      <c r="AD11" s="219">
        <f>'Operating Statement'!AD27</f>
        <v>238392.66727020012</v>
      </c>
      <c r="AE11" s="219">
        <f>'Operating Statement'!AE27</f>
        <v>249874.19989462683</v>
      </c>
      <c r="AF11" s="219">
        <f>'Operating Statement'!AF27</f>
        <v>255682.95421768865</v>
      </c>
      <c r="AG11" s="219">
        <f>'Operating Statement'!AG27</f>
        <v>262333.30563756905</v>
      </c>
      <c r="AH11" s="219">
        <f>'Operating Statement'!AH27</f>
        <v>272292.59934801207</v>
      </c>
      <c r="AI11" s="219">
        <f>'Operating Statement'!AI27</f>
        <v>285567.19937472284</v>
      </c>
      <c r="AJ11" s="219">
        <f>'Operating Statement'!AJ27</f>
        <v>291471.5401025681</v>
      </c>
      <c r="AK11" s="219">
        <f>'Operating Statement'!AK27</f>
        <v>300609.18042036257</v>
      </c>
      <c r="AL11" s="219">
        <f>'Operating Statement'!AL27</f>
        <v>310697.8606164892</v>
      </c>
      <c r="AM11" s="219">
        <f>'Operating Statement'!AM27</f>
        <v>323946.5621653889</v>
      </c>
      <c r="AN11" s="219">
        <f>'Operating Statement'!AN27</f>
        <v>337355.5705520938</v>
      </c>
      <c r="AO11" s="219">
        <f>'Operating Statement'!AO27</f>
        <v>351411.54128947295</v>
      </c>
      <c r="AP11" s="219">
        <f>'Operating Statement'!AP27</f>
        <v>366177.56929074746</v>
      </c>
      <c r="AQ11" s="219">
        <f>'Operating Statement'!AQ27</f>
        <v>450947.2617681077</v>
      </c>
    </row>
    <row r="12" spans="1:43" ht="12.75">
      <c r="A12" s="226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</row>
    <row r="13" spans="1:43" ht="12.75">
      <c r="A13" s="226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</row>
    <row r="14" spans="1:43" ht="12.75">
      <c r="A14" s="226" t="s">
        <v>168</v>
      </c>
      <c r="B14" s="222">
        <f aca="true" t="shared" si="1" ref="B14:AQ14">B6/B11</f>
        <v>0.460412147505423</v>
      </c>
      <c r="C14" s="222">
        <f t="shared" si="1"/>
        <v>0.3498177538157795</v>
      </c>
      <c r="D14" s="222">
        <f t="shared" si="1"/>
        <v>0.31984769157544024</v>
      </c>
      <c r="E14" s="222">
        <f t="shared" si="1"/>
        <v>0.35421311900440755</v>
      </c>
      <c r="F14" s="222">
        <f t="shared" si="1"/>
        <v>0.3612048776548494</v>
      </c>
      <c r="G14" s="222">
        <f t="shared" si="1"/>
        <v>0.38882468790182134</v>
      </c>
      <c r="H14" s="222">
        <f t="shared" si="1"/>
        <v>0.35035526841786274</v>
      </c>
      <c r="I14" s="222">
        <f t="shared" si="1"/>
        <v>0.34582034708157994</v>
      </c>
      <c r="J14" s="222">
        <f t="shared" si="1"/>
        <v>0.34697322403768716</v>
      </c>
      <c r="K14" s="222">
        <f t="shared" si="1"/>
        <v>0.3246113576447851</v>
      </c>
      <c r="L14" s="222">
        <f t="shared" si="1"/>
        <v>0.363014576167621</v>
      </c>
      <c r="M14" s="222">
        <f t="shared" si="1"/>
        <v>0.4091038870987478</v>
      </c>
      <c r="N14" s="222">
        <f t="shared" si="1"/>
        <v>0.4141667370872182</v>
      </c>
      <c r="O14" s="222">
        <f t="shared" si="1"/>
        <v>0.41218552926018853</v>
      </c>
      <c r="P14" s="222">
        <f t="shared" si="1"/>
        <v>0.40507366838977066</v>
      </c>
      <c r="Q14" s="222">
        <f t="shared" si="1"/>
        <v>0.4180253290873604</v>
      </c>
      <c r="R14" s="222">
        <f t="shared" si="1"/>
        <v>0.43545085620956986</v>
      </c>
      <c r="S14" s="222">
        <f t="shared" si="1"/>
        <v>0.41726562853797233</v>
      </c>
      <c r="T14" s="222">
        <f t="shared" si="1"/>
        <v>0.41592256503327285</v>
      </c>
      <c r="U14" s="222">
        <f t="shared" si="1"/>
        <v>0.4616332743755508</v>
      </c>
      <c r="V14" s="222">
        <f t="shared" si="1"/>
        <v>0.4720045228450355</v>
      </c>
      <c r="W14" s="222">
        <f t="shared" si="1"/>
        <v>0.4828491889392762</v>
      </c>
      <c r="X14" s="222">
        <f t="shared" si="1"/>
        <v>0.5510110584518167</v>
      </c>
      <c r="Y14" s="222">
        <f t="shared" si="1"/>
        <v>0.5543818160222325</v>
      </c>
      <c r="Z14" s="222">
        <f t="shared" si="1"/>
        <v>0.5632667590551379</v>
      </c>
      <c r="AA14" s="222">
        <f t="shared" si="1"/>
        <v>0.5721531362954648</v>
      </c>
      <c r="AB14" s="222">
        <f t="shared" si="1"/>
        <v>0.5772544652180259</v>
      </c>
      <c r="AC14" s="222">
        <f t="shared" si="1"/>
        <v>0.5826135599720885</v>
      </c>
      <c r="AD14" s="222">
        <f t="shared" si="1"/>
        <v>0.5915734616938456</v>
      </c>
      <c r="AE14" s="222">
        <f t="shared" si="1"/>
        <v>0.5931750497984933</v>
      </c>
      <c r="AF14" s="222">
        <f t="shared" si="1"/>
        <v>0.6092636000383612</v>
      </c>
      <c r="AG14" s="222">
        <f t="shared" si="1"/>
        <v>0.6241030315693786</v>
      </c>
      <c r="AH14" s="222">
        <f t="shared" si="1"/>
        <v>0.6319411005656134</v>
      </c>
      <c r="AI14" s="222">
        <f t="shared" si="1"/>
        <v>0.63329612936689</v>
      </c>
      <c r="AJ14" s="222">
        <f t="shared" si="1"/>
        <v>0.6521112856343195</v>
      </c>
      <c r="AK14" s="222">
        <f t="shared" si="1"/>
        <v>0.6645357483114854</v>
      </c>
      <c r="AL14" s="222">
        <f t="shared" si="1"/>
        <v>0.6757484236390096</v>
      </c>
      <c r="AM14" s="222">
        <f t="shared" si="1"/>
        <v>0.6811655018998718</v>
      </c>
      <c r="AN14" s="222">
        <f t="shared" si="1"/>
        <v>0.6874495790287407</v>
      </c>
      <c r="AO14" s="222">
        <f t="shared" si="1"/>
        <v>0.6936101365867408</v>
      </c>
      <c r="AP14" s="222">
        <f t="shared" si="1"/>
        <v>0.6995881277296215</v>
      </c>
      <c r="AQ14" s="222">
        <f t="shared" si="1"/>
        <v>0.5970505875720358</v>
      </c>
    </row>
    <row r="15" spans="1:43" ht="12.75">
      <c r="A15" s="226" t="s">
        <v>169</v>
      </c>
      <c r="B15" s="222">
        <f aca="true" t="shared" si="2" ref="B15:AQ15">B9/B11</f>
        <v>0</v>
      </c>
      <c r="C15" s="222">
        <f t="shared" si="2"/>
        <v>0</v>
      </c>
      <c r="D15" s="222">
        <f t="shared" si="2"/>
        <v>0</v>
      </c>
      <c r="E15" s="222">
        <f t="shared" si="2"/>
        <v>0</v>
      </c>
      <c r="F15" s="222">
        <f t="shared" si="2"/>
        <v>0</v>
      </c>
      <c r="G15" s="222">
        <f t="shared" si="2"/>
        <v>0</v>
      </c>
      <c r="H15" s="222">
        <f t="shared" si="2"/>
        <v>0</v>
      </c>
      <c r="I15" s="222">
        <f t="shared" si="2"/>
        <v>0</v>
      </c>
      <c r="J15" s="222">
        <f t="shared" si="2"/>
        <v>0</v>
      </c>
      <c r="K15" s="222">
        <f t="shared" si="2"/>
        <v>0</v>
      </c>
      <c r="L15" s="222">
        <f t="shared" si="2"/>
        <v>0</v>
      </c>
      <c r="M15" s="222">
        <f t="shared" si="2"/>
        <v>0</v>
      </c>
      <c r="N15" s="222">
        <f t="shared" si="2"/>
        <v>0</v>
      </c>
      <c r="O15" s="222">
        <f t="shared" si="2"/>
        <v>0</v>
      </c>
      <c r="P15" s="222">
        <f t="shared" si="2"/>
        <v>0</v>
      </c>
      <c r="Q15" s="222">
        <f t="shared" si="2"/>
        <v>0</v>
      </c>
      <c r="R15" s="222">
        <f t="shared" si="2"/>
        <v>0</v>
      </c>
      <c r="S15" s="222">
        <f t="shared" si="2"/>
        <v>0</v>
      </c>
      <c r="T15" s="222">
        <f t="shared" si="2"/>
        <v>0</v>
      </c>
      <c r="U15" s="222">
        <f t="shared" si="2"/>
        <v>0</v>
      </c>
      <c r="V15" s="222">
        <f t="shared" si="2"/>
        <v>0.1253533472683987</v>
      </c>
      <c r="W15" s="222">
        <f t="shared" si="2"/>
        <v>0.12403474428716173</v>
      </c>
      <c r="X15" s="222">
        <f t="shared" si="2"/>
        <v>0.13189046866771986</v>
      </c>
      <c r="Y15" s="222">
        <f t="shared" si="2"/>
        <v>0.12815200329652388</v>
      </c>
      <c r="Z15" s="222">
        <f t="shared" si="2"/>
        <v>0.12574591091037604</v>
      </c>
      <c r="AA15" s="222">
        <f t="shared" si="2"/>
        <v>0.12335460248842432</v>
      </c>
      <c r="AB15" s="222">
        <f t="shared" si="2"/>
        <v>0.12019148538117998</v>
      </c>
      <c r="AC15" s="222">
        <f t="shared" si="2"/>
        <v>0.1171521642245369</v>
      </c>
      <c r="AD15" s="222">
        <f t="shared" si="2"/>
        <v>0.11487928845423324</v>
      </c>
      <c r="AE15" s="222">
        <f t="shared" si="2"/>
        <v>0.11124468112458262</v>
      </c>
      <c r="AF15" s="222">
        <f t="shared" si="2"/>
        <v>0.11034812003871212</v>
      </c>
      <c r="AG15" s="222">
        <f t="shared" si="2"/>
        <v>0.10916397082758693</v>
      </c>
      <c r="AH15" s="222">
        <f t="shared" si="2"/>
        <v>0.10674878998980807</v>
      </c>
      <c r="AI15" s="222">
        <f t="shared" si="2"/>
        <v>0.10331336774928308</v>
      </c>
      <c r="AJ15" s="222">
        <f t="shared" si="2"/>
        <v>0.10273885646567021</v>
      </c>
      <c r="AK15" s="222">
        <f t="shared" si="2"/>
        <v>0.10111013399776762</v>
      </c>
      <c r="AL15" s="222">
        <f t="shared" si="2"/>
        <v>0.09929438834804646</v>
      </c>
      <c r="AM15" s="222">
        <f t="shared" si="2"/>
        <v>0.09666196835710973</v>
      </c>
      <c r="AN15" s="222">
        <f t="shared" si="2"/>
        <v>0.09421220457256035</v>
      </c>
      <c r="AO15" s="222">
        <f t="shared" si="2"/>
        <v>0.09180050572206766</v>
      </c>
      <c r="AP15" s="222">
        <f t="shared" si="2"/>
        <v>0.08942015107170687</v>
      </c>
      <c r="AQ15" s="222">
        <f t="shared" si="2"/>
        <v>0.0736999893029958</v>
      </c>
    </row>
    <row r="16" spans="1:43" ht="12.75">
      <c r="A16" s="226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</row>
    <row r="17" spans="1:43" ht="12.75">
      <c r="A17" s="226" t="s">
        <v>519</v>
      </c>
      <c r="B17" s="222">
        <f aca="true" t="shared" si="3" ref="B17:AQ17">B9/B6</f>
        <v>0</v>
      </c>
      <c r="C17" s="222">
        <f t="shared" si="3"/>
        <v>0</v>
      </c>
      <c r="D17" s="222">
        <f t="shared" si="3"/>
        <v>0</v>
      </c>
      <c r="E17" s="222">
        <f t="shared" si="3"/>
        <v>0</v>
      </c>
      <c r="F17" s="222">
        <f t="shared" si="3"/>
        <v>0</v>
      </c>
      <c r="G17" s="222">
        <f t="shared" si="3"/>
        <v>0</v>
      </c>
      <c r="H17" s="222">
        <f t="shared" si="3"/>
        <v>0</v>
      </c>
      <c r="I17" s="222">
        <f t="shared" si="3"/>
        <v>0</v>
      </c>
      <c r="J17" s="222">
        <f t="shared" si="3"/>
        <v>0</v>
      </c>
      <c r="K17" s="222">
        <f t="shared" si="3"/>
        <v>0</v>
      </c>
      <c r="L17" s="222">
        <f t="shared" si="3"/>
        <v>0</v>
      </c>
      <c r="M17" s="222">
        <f t="shared" si="3"/>
        <v>0</v>
      </c>
      <c r="N17" s="222">
        <f t="shared" si="3"/>
        <v>0</v>
      </c>
      <c r="O17" s="222">
        <f t="shared" si="3"/>
        <v>0</v>
      </c>
      <c r="P17" s="222">
        <f t="shared" si="3"/>
        <v>0</v>
      </c>
      <c r="Q17" s="222">
        <f t="shared" si="3"/>
        <v>0</v>
      </c>
      <c r="R17" s="222">
        <f t="shared" si="3"/>
        <v>0</v>
      </c>
      <c r="S17" s="222">
        <f t="shared" si="3"/>
        <v>0</v>
      </c>
      <c r="T17" s="222">
        <f t="shared" si="3"/>
        <v>0</v>
      </c>
      <c r="U17" s="222">
        <f t="shared" si="3"/>
        <v>0</v>
      </c>
      <c r="V17" s="222">
        <f t="shared" si="3"/>
        <v>0.26557658073448936</v>
      </c>
      <c r="W17" s="222">
        <f t="shared" si="3"/>
        <v>0.256880920851584</v>
      </c>
      <c r="X17" s="222">
        <f t="shared" si="3"/>
        <v>0.23936083794451293</v>
      </c>
      <c r="Y17" s="222">
        <f t="shared" si="3"/>
        <v>0.23116198907105673</v>
      </c>
      <c r="Z17" s="222">
        <f t="shared" si="3"/>
        <v>0.22324397612475982</v>
      </c>
      <c r="AA17" s="222">
        <f t="shared" si="3"/>
        <v>0.21559717960669003</v>
      </c>
      <c r="AB17" s="222">
        <f t="shared" si="3"/>
        <v>0.20821230951549988</v>
      </c>
      <c r="AC17" s="222">
        <f t="shared" si="3"/>
        <v>0.2010803940611155</v>
      </c>
      <c r="AD17" s="222">
        <f t="shared" si="3"/>
        <v>0.1941927687650164</v>
      </c>
      <c r="AE17" s="222">
        <f t="shared" si="3"/>
        <v>0.18754106593386455</v>
      </c>
      <c r="AF17" s="222">
        <f t="shared" si="3"/>
        <v>0.18111720449369412</v>
      </c>
      <c r="AG17" s="222">
        <f t="shared" si="3"/>
        <v>0.17491338017231162</v>
      </c>
      <c r="AH17" s="222">
        <f t="shared" si="3"/>
        <v>0.16892205601797936</v>
      </c>
      <c r="AI17" s="222">
        <f t="shared" si="3"/>
        <v>0.163135953242863</v>
      </c>
      <c r="AJ17" s="222">
        <f t="shared" si="3"/>
        <v>0.15754804238011982</v>
      </c>
      <c r="AK17" s="222">
        <f t="shared" si="3"/>
        <v>0.15215153474388357</v>
      </c>
      <c r="AL17" s="222">
        <f t="shared" si="3"/>
        <v>0.14693987418177148</v>
      </c>
      <c r="AM17" s="222">
        <f t="shared" si="3"/>
        <v>0.14190672910989346</v>
      </c>
      <c r="AN17" s="222">
        <f t="shared" si="3"/>
        <v>0.13704598482068686</v>
      </c>
      <c r="AO17" s="222">
        <f t="shared" si="3"/>
        <v>0.13235173605423134</v>
      </c>
      <c r="AP17" s="222">
        <f t="shared" si="3"/>
        <v>0.1278182798240198</v>
      </c>
      <c r="AQ17" s="222">
        <f t="shared" si="3"/>
        <v>0.12344010848846823</v>
      </c>
    </row>
    <row r="18" spans="1:43" ht="12.75">
      <c r="A18" s="2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</row>
    <row r="19" spans="1:43" ht="12.75">
      <c r="A19" s="226" t="s">
        <v>187</v>
      </c>
      <c r="B19" s="222">
        <f aca="true" t="shared" si="4" ref="B19:AQ19">B8/B11</f>
        <v>0.21301935591523444</v>
      </c>
      <c r="C19" s="222">
        <f t="shared" si="4"/>
        <v>0.2636494798390159</v>
      </c>
      <c r="D19" s="222">
        <f t="shared" si="4"/>
        <v>0.30876453389542396</v>
      </c>
      <c r="E19" s="222">
        <f t="shared" si="4"/>
        <v>0.24779189352692074</v>
      </c>
      <c r="F19" s="222">
        <f t="shared" si="4"/>
        <v>0.21747557134781556</v>
      </c>
      <c r="G19" s="222">
        <f t="shared" si="4"/>
        <v>0.21901398134735267</v>
      </c>
      <c r="H19" s="222">
        <f t="shared" si="4"/>
        <v>0.21730047584045806</v>
      </c>
      <c r="I19" s="222">
        <f t="shared" si="4"/>
        <v>0.20944954462217588</v>
      </c>
      <c r="J19" s="222">
        <f t="shared" si="4"/>
        <v>0.1739168808817202</v>
      </c>
      <c r="K19" s="222">
        <f t="shared" si="4"/>
        <v>0.1281651952828153</v>
      </c>
      <c r="L19" s="222">
        <f t="shared" si="4"/>
        <v>0.162289217183912</v>
      </c>
      <c r="M19" s="222">
        <f t="shared" si="4"/>
        <v>0.16164294163233675</v>
      </c>
      <c r="N19" s="222">
        <f t="shared" si="4"/>
        <v>0.16832389697942782</v>
      </c>
      <c r="O19" s="222">
        <f t="shared" si="4"/>
        <v>0.1703990642164508</v>
      </c>
      <c r="P19" s="222">
        <f t="shared" si="4"/>
        <v>0.1575008160074086</v>
      </c>
      <c r="Q19" s="222">
        <f t="shared" si="4"/>
        <v>0.14860660669474487</v>
      </c>
      <c r="R19" s="222">
        <f t="shared" si="4"/>
        <v>0.15927423668613733</v>
      </c>
      <c r="S19" s="222">
        <f t="shared" si="4"/>
        <v>0.17295387939678986</v>
      </c>
      <c r="T19" s="222">
        <f t="shared" si="4"/>
        <v>0.13672716273442226</v>
      </c>
      <c r="U19" s="222">
        <f t="shared" si="4"/>
        <v>0.11105427608265593</v>
      </c>
      <c r="V19" s="222">
        <f t="shared" si="4"/>
        <v>0.15916057655900706</v>
      </c>
      <c r="W19" s="222">
        <f t="shared" si="4"/>
        <v>0.08998888418898845</v>
      </c>
      <c r="X19" s="222">
        <f t="shared" si="4"/>
        <v>0.12496050552922591</v>
      </c>
      <c r="Y19" s="222">
        <f t="shared" si="4"/>
        <v>0.12261471264035452</v>
      </c>
      <c r="Z19" s="222">
        <f t="shared" si="4"/>
        <v>0.12149793021146167</v>
      </c>
      <c r="AA19" s="222">
        <f t="shared" si="4"/>
        <v>0.12036166573911625</v>
      </c>
      <c r="AB19" s="222">
        <f t="shared" si="4"/>
        <v>0.11843071655766524</v>
      </c>
      <c r="AC19" s="222">
        <f t="shared" si="4"/>
        <v>0.11657322024426478</v>
      </c>
      <c r="AD19" s="222">
        <f t="shared" si="4"/>
        <v>0.11543779902844316</v>
      </c>
      <c r="AE19" s="222">
        <f t="shared" si="4"/>
        <v>0.1128868564519343</v>
      </c>
      <c r="AF19" s="222">
        <f t="shared" si="4"/>
        <v>0.1130802827524202</v>
      </c>
      <c r="AG19" s="222">
        <f t="shared" si="4"/>
        <v>0.11296895072027774</v>
      </c>
      <c r="AH19" s="222">
        <f t="shared" si="4"/>
        <v>0.11155795752992917</v>
      </c>
      <c r="AI19" s="222">
        <f t="shared" si="4"/>
        <v>0.10903148701180994</v>
      </c>
      <c r="AJ19" s="222">
        <f t="shared" si="4"/>
        <v>0.10949340641674347</v>
      </c>
      <c r="AK19" s="222">
        <f t="shared" si="4"/>
        <v>0.10881925511591231</v>
      </c>
      <c r="AL19" s="222">
        <f t="shared" si="4"/>
        <v>0.10791792613305166</v>
      </c>
      <c r="AM19" s="222">
        <f t="shared" si="4"/>
        <v>0.10609192843804197</v>
      </c>
      <c r="AN19" s="222">
        <f t="shared" si="4"/>
        <v>0.10442192586482106</v>
      </c>
      <c r="AO19" s="222">
        <f t="shared" si="4"/>
        <v>0.10275132457299772</v>
      </c>
      <c r="AP19" s="222">
        <f t="shared" si="4"/>
        <v>0.10107309806786274</v>
      </c>
      <c r="AQ19" s="222">
        <f t="shared" si="4"/>
        <v>0.08412506765583302</v>
      </c>
    </row>
    <row r="20" spans="1:43" ht="12.75">
      <c r="A20" s="226" t="s">
        <v>203</v>
      </c>
      <c r="B20" s="219">
        <f>'Operating Statement'!B27-'Operating Statement'!B25-'Operating Statement'!B24-'Operating Statement'!B19-'Operating Statement'!B18-'Operating Statement'!B17</f>
        <v>46104</v>
      </c>
      <c r="C20" s="219">
        <f>'Operating Statement'!C27-'Operating Statement'!C25-'Operating Statement'!C24-'Operating Statement'!C19-'Operating Statement'!C18-'Operating Statement'!C17</f>
        <v>48175</v>
      </c>
      <c r="D20" s="219">
        <f>'Operating Statement'!D27-'Operating Statement'!D25-'Operating Statement'!D24-'Operating Statement'!D19-'Operating Statement'!D18-'Operating Statement'!D17</f>
        <v>42679</v>
      </c>
      <c r="E20" s="219">
        <f>'Operating Statement'!E27-'Operating Statement'!E25-'Operating Statement'!E24-'Operating Statement'!E19-'Operating Statement'!E18-'Operating Statement'!E17</f>
        <v>56244</v>
      </c>
      <c r="F20" s="219">
        <f>'Operating Statement'!F27-'Operating Statement'!F25-'Operating Statement'!F24-'Operating Statement'!F19-'Operating Statement'!F18-'Operating Statement'!F17</f>
        <v>59093</v>
      </c>
      <c r="G20" s="219">
        <f>'Operating Statement'!G27-'Operating Statement'!G25-'Operating Statement'!G24-'Operating Statement'!G19-'Operating Statement'!G18-'Operating Statement'!G17</f>
        <v>55392</v>
      </c>
      <c r="H20" s="219">
        <f>'Operating Statement'!H27-'Operating Statement'!H25-'Operating Statement'!H24-'Operating Statement'!H19-'Operating Statement'!H18-'Operating Statement'!H17</f>
        <v>66764</v>
      </c>
      <c r="I20" s="219">
        <f>'Operating Statement'!I27-'Operating Statement'!I25-'Operating Statement'!I24-'Operating Statement'!I19-'Operating Statement'!I18-'Operating Statement'!I17</f>
        <v>71748</v>
      </c>
      <c r="J20" s="219">
        <f>'Operating Statement'!J27-'Operating Statement'!J25-'Operating Statement'!J24-'Operating Statement'!J19-'Operating Statement'!J18-'Operating Statement'!J17</f>
        <v>78281</v>
      </c>
      <c r="K20" s="219">
        <f>'Operating Statement'!K27-'Operating Statement'!K25-'Operating Statement'!K24-'Operating Statement'!K19-'Operating Statement'!K18-'Operating Statement'!K17</f>
        <v>80389</v>
      </c>
      <c r="L20" s="219">
        <f>'Operating Statement'!L27-'Operating Statement'!L25-'Operating Statement'!L24-'Operating Statement'!L19-'Operating Statement'!L18-'Operating Statement'!L17</f>
        <v>85649</v>
      </c>
      <c r="M20" s="219">
        <f>'Operating Statement'!M27-'Operating Statement'!M25-'Operating Statement'!M24-'Operating Statement'!M19-'Operating Statement'!M18-'Operating Statement'!M17</f>
        <v>87118</v>
      </c>
      <c r="N20" s="219">
        <f>'Operating Statement'!N27-'Operating Statement'!N25-'Operating Statement'!N24-'Operating Statement'!N19-'Operating Statement'!N18-'Operating Statement'!N17</f>
        <v>94375</v>
      </c>
      <c r="O20" s="219">
        <f>'Operating Statement'!O27-'Operating Statement'!O25-'Operating Statement'!O24-'Operating Statement'!O19-'Operating Statement'!O18-'Operating Statement'!O17</f>
        <v>104894</v>
      </c>
      <c r="P20" s="219">
        <f>'Operating Statement'!P27-'Operating Statement'!P25-'Operating Statement'!P24-'Operating Statement'!P19-'Operating Statement'!P18-'Operating Statement'!P17</f>
        <v>114109</v>
      </c>
      <c r="Q20" s="219">
        <f>'Operating Statement'!Q27-'Operating Statement'!Q25-'Operating Statement'!Q24-'Operating Statement'!Q19-'Operating Statement'!Q18-'Operating Statement'!Q17</f>
        <v>113010</v>
      </c>
      <c r="R20" s="219">
        <f>'Operating Statement'!R27-'Operating Statement'!R25-'Operating Statement'!R24-'Operating Statement'!R19-'Operating Statement'!R18-'Operating Statement'!R17</f>
        <v>120728</v>
      </c>
      <c r="S20" s="219">
        <f>'Operating Statement'!S27-'Operating Statement'!S25-'Operating Statement'!S24-'Operating Statement'!S19-'Operating Statement'!S18-'Operating Statement'!S17</f>
        <v>131814</v>
      </c>
      <c r="T20" s="219">
        <f>'Operating Statement'!T27-'Operating Statement'!T25-'Operating Statement'!T24-'Operating Statement'!T19-'Operating Statement'!T18-'Operating Statement'!T17</f>
        <v>132727</v>
      </c>
      <c r="U20" s="219">
        <f>'Operating Statement'!U27-'Operating Statement'!U25-'Operating Statement'!U24-'Operating Statement'!U19-'Operating Statement'!U18-'Operating Statement'!U17</f>
        <v>135778</v>
      </c>
      <c r="V20" s="219">
        <f>'Operating Statement'!V27-'Operating Statement'!V25-'Operating Statement'!V24-'Operating Statement'!V19-'Operating Statement'!V18-'Operating Statement'!V17</f>
        <v>162344</v>
      </c>
      <c r="W20" s="219">
        <f>'Operating Statement'!W27-'Operating Statement'!W25-'Operating Statement'!W24-'Operating Statement'!W19-'Operating Statement'!W18-'Operating Statement'!W17</f>
        <v>153087</v>
      </c>
      <c r="X20" s="219">
        <f>'Operating Statement'!X27-'Operating Statement'!X25-'Operating Statement'!X24-'Operating Statement'!X19-'Operating Statement'!X18-'Operating Statement'!X17</f>
        <v>164762</v>
      </c>
      <c r="Y20" s="219">
        <f>'Operating Statement'!Y27-'Operating Statement'!Y25-'Operating Statement'!Y24-'Operating Statement'!Y19-'Operating Statement'!Y18-'Operating Statement'!Y17</f>
        <v>171298.382</v>
      </c>
      <c r="Z20" s="219">
        <f>'Operating Statement'!Z27-'Operating Statement'!Z25-'Operating Statement'!Z24-'Operating Statement'!Z19-'Operating Statement'!Z18-'Operating Statement'!Z17</f>
        <v>178133.63761199996</v>
      </c>
      <c r="AA20" s="219">
        <f>'Operating Statement'!AA27-'Operating Statement'!AA25-'Operating Statement'!AA24-'Operating Statement'!AA19-'Operating Statement'!AA18-'Operating Statement'!AA17</f>
        <v>185279.22822756198</v>
      </c>
      <c r="AB20" s="219">
        <f>'Operating Statement'!AB27-'Operating Statement'!AB25-'Operating Statement'!AB24-'Operating Statement'!AB19-'Operating Statement'!AB18-'Operating Statement'!AB17</f>
        <v>192753.33676023438</v>
      </c>
      <c r="AC20" s="219">
        <f>'Operating Statement'!AC27-'Operating Statement'!AC25-'Operating Statement'!AC24-'Operating Statement'!AC19-'Operating Statement'!AC18-'Operating Statement'!AC17</f>
        <v>200570.9040755432</v>
      </c>
      <c r="AD20" s="219">
        <f>'Operating Statement'!AD27-'Operating Statement'!AD25-'Operating Statement'!AD24-'Operating Statement'!AD19-'Operating Statement'!AD18-'Operating Statement'!AD17</f>
        <v>208748.66727020012</v>
      </c>
      <c r="AE20" s="219">
        <f>'Operating Statement'!AE27-'Operating Statement'!AE25-'Operating Statement'!AE24-'Operating Statement'!AE19-'Operating Statement'!AE18-'Operating Statement'!AE17</f>
        <v>217304.19989462683</v>
      </c>
      <c r="AF20" s="219">
        <f>'Operating Statement'!AF27-'Operating Statement'!AF25-'Operating Statement'!AF24-'Operating Statement'!AF19-'Operating Statement'!AF18-'Operating Statement'!AF17</f>
        <v>226255.95421768865</v>
      </c>
      <c r="AG20" s="219">
        <f>'Operating Statement'!AG27-'Operating Statement'!AG25-'Operating Statement'!AG24-'Operating Statement'!AG19-'Operating Statement'!AG18-'Operating Statement'!AG17</f>
        <v>235623.30563756905</v>
      </c>
      <c r="AH20" s="219">
        <f>'Operating Statement'!AH27-'Operating Statement'!AH25-'Operating Statement'!AH24-'Operating Statement'!AH19-'Operating Statement'!AH18-'Operating Statement'!AH17</f>
        <v>245426.59934801207</v>
      </c>
      <c r="AI20" s="219">
        <f>'Operating Statement'!AI27-'Operating Statement'!AI25-'Operating Statement'!AI24-'Operating Statement'!AI19-'Operating Statement'!AI18-'Operating Statement'!AI17</f>
        <v>255687.19937472284</v>
      </c>
      <c r="AJ20" s="219">
        <f>'Operating Statement'!AJ27-'Operating Statement'!AJ25-'Operating Statement'!AJ24-'Operating Statement'!AJ19-'Operating Statement'!AJ18-'Operating Statement'!AJ17</f>
        <v>266427.5401025681</v>
      </c>
      <c r="AK20" s="219">
        <f>'Operating Statement'!AK27-'Operating Statement'!AK25-'Operating Statement'!AK24-'Operating Statement'!AK19-'Operating Statement'!AK18-'Operating Statement'!AK17</f>
        <v>277671.18042036257</v>
      </c>
      <c r="AL20" s="219">
        <f>'Operating Statement'!AL27-'Operating Statement'!AL25-'Operating Statement'!AL24-'Operating Statement'!AL19-'Operating Statement'!AL18-'Operating Statement'!AL17</f>
        <v>289442.8606164892</v>
      </c>
      <c r="AM20" s="219">
        <f>'Operating Statement'!AM27-'Operating Statement'!AM25-'Operating Statement'!AM24-'Operating Statement'!AM19-'Operating Statement'!AM18-'Operating Statement'!AM17</f>
        <v>301768.5621653889</v>
      </c>
      <c r="AN20" s="219">
        <f>'Operating Statement'!AN27-'Operating Statement'!AN25-'Operating Statement'!AN24-'Operating Statement'!AN19-'Operating Statement'!AN18-'Operating Statement'!AN17</f>
        <v>314675.5705520938</v>
      </c>
      <c r="AO20" s="219">
        <f>'Operating Statement'!AO27-'Operating Statement'!AO25-'Operating Statement'!AO24-'Operating Statement'!AO19-'Operating Statement'!AO18-'Operating Statement'!AO17</f>
        <v>328192.54128947295</v>
      </c>
      <c r="AP20" s="219">
        <f>'Operating Statement'!AP27-'Operating Statement'!AP25-'Operating Statement'!AP24-'Operating Statement'!AP19-'Operating Statement'!AP18-'Operating Statement'!AP17</f>
        <v>342349.56929074746</v>
      </c>
      <c r="AQ20" s="219">
        <f>'Operating Statement'!AQ27-'Operating Statement'!AQ25-'Operating Statement'!AQ24-'Operating Statement'!AQ19-'Operating Statement'!AQ18-'Operating Statement'!AQ17</f>
        <v>357178.2617681077</v>
      </c>
    </row>
    <row r="21" spans="1:43" ht="12.75">
      <c r="A21" s="226" t="s">
        <v>205</v>
      </c>
      <c r="B21" s="219">
        <f>'Operating Statement'!B37</f>
        <v>39659</v>
      </c>
      <c r="C21" s="219">
        <f>'Operating Statement'!C37</f>
        <v>50269</v>
      </c>
      <c r="D21" s="219">
        <f>'Operating Statement'!D37</f>
        <v>46646</v>
      </c>
      <c r="E21" s="219">
        <f>'Operating Statement'!E37</f>
        <v>60720</v>
      </c>
      <c r="F21" s="219">
        <f>'Operating Statement'!F37</f>
        <v>62504</v>
      </c>
      <c r="G21" s="219">
        <f>'Operating Statement'!G37</f>
        <v>60737</v>
      </c>
      <c r="H21" s="219">
        <f>'Operating Statement'!H37</f>
        <v>73750</v>
      </c>
      <c r="I21" s="219">
        <f>'Operating Statement'!I37</f>
        <v>79844</v>
      </c>
      <c r="J21" s="219">
        <f>'Operating Statement'!J37</f>
        <v>88241</v>
      </c>
      <c r="K21" s="219">
        <f>'Operating Statement'!K37</f>
        <v>81727</v>
      </c>
      <c r="L21" s="219">
        <f>'Operating Statement'!L37</f>
        <v>92800</v>
      </c>
      <c r="M21" s="219">
        <f>'Operating Statement'!M37</f>
        <v>98612</v>
      </c>
      <c r="N21" s="219">
        <f>'Operating Statement'!N37</f>
        <v>95948</v>
      </c>
      <c r="O21" s="219">
        <f>'Operating Statement'!O37</f>
        <v>100645</v>
      </c>
      <c r="P21" s="219">
        <f>'Operating Statement'!P37</f>
        <v>103983</v>
      </c>
      <c r="Q21" s="219">
        <f>'Operating Statement'!Q37</f>
        <v>111270</v>
      </c>
      <c r="R21" s="219">
        <f>'Operating Statement'!R37</f>
        <v>121171</v>
      </c>
      <c r="S21" s="219">
        <f>'Operating Statement'!S37</f>
        <v>136499</v>
      </c>
      <c r="T21" s="219">
        <f>'Operating Statement'!T37</f>
        <v>132707</v>
      </c>
      <c r="U21" s="219">
        <f>'Operating Statement'!U37</f>
        <v>142047</v>
      </c>
      <c r="V21" s="219">
        <f>'Operating Statement'!V37</f>
        <v>145088</v>
      </c>
      <c r="W21" s="219">
        <f>'Operating Statement'!W37</f>
        <v>160362</v>
      </c>
      <c r="X21" s="219">
        <f>'Operating Statement'!X37</f>
        <v>163935</v>
      </c>
      <c r="Y21" s="219">
        <f>'Operating Statement'!Y37</f>
        <v>170406.22172875</v>
      </c>
      <c r="Z21" s="219">
        <f>'Operating Statement'!Z37</f>
        <v>177390.51543528787</v>
      </c>
      <c r="AA21" s="219">
        <f>'Operating Statement'!AA37</f>
        <v>185055.30270303716</v>
      </c>
      <c r="AB21" s="219">
        <f>'Operating Statement'!AB37</f>
        <v>192906.76372381626</v>
      </c>
      <c r="AC21" s="219">
        <f>'Operating Statement'!AC37</f>
        <v>200760.76573752367</v>
      </c>
      <c r="AD21" s="219">
        <f>'Operating Statement'!AD37</f>
        <v>208633.98998982154</v>
      </c>
      <c r="AE21" s="219">
        <f>'Operating Statement'!AE37</f>
        <v>216986.46628859921</v>
      </c>
      <c r="AF21" s="219">
        <f>'Operating Statement'!AF37</f>
        <v>225090.89069011656</v>
      </c>
      <c r="AG21" s="219">
        <f>'Operating Statement'!AG37</f>
        <v>233651.7502163985</v>
      </c>
      <c r="AH21" s="219">
        <f>'Operating Statement'!AH37</f>
        <v>244117.13315743534</v>
      </c>
      <c r="AI21" s="219">
        <f>'Operating Statement'!AI37</f>
        <v>253562.44525473277</v>
      </c>
      <c r="AJ21" s="219">
        <f>'Operating Statement'!AJ37</f>
        <v>262787.44360924297</v>
      </c>
      <c r="AK21" s="219">
        <f>'Operating Statement'!AK37</f>
        <v>272544.457620093</v>
      </c>
      <c r="AL21" s="219">
        <f>'Operating Statement'!AL37</f>
        <v>284005.2966175326</v>
      </c>
      <c r="AM21" s="219">
        <f>'Operating Statement'!AM37</f>
        <v>294898.87957052566</v>
      </c>
      <c r="AN21" s="219">
        <f>'Operating Statement'!AN37</f>
        <v>306141.1704064081</v>
      </c>
      <c r="AO21" s="219">
        <f>'Operating Statement'!AO37</f>
        <v>317871.2207009733</v>
      </c>
      <c r="AP21" s="219">
        <f>'Operating Statement'!AP37</f>
        <v>330196.9304638646</v>
      </c>
      <c r="AQ21" s="219">
        <f>'Operating Statement'!AQ37</f>
        <v>343451.07664770057</v>
      </c>
    </row>
    <row r="22" spans="1:43" ht="12.75">
      <c r="A22" s="226" t="s">
        <v>204</v>
      </c>
      <c r="B22" s="219">
        <f aca="true" t="shared" si="5" ref="B22:V22">B20-B21</f>
        <v>6445</v>
      </c>
      <c r="C22" s="219">
        <f t="shared" si="5"/>
        <v>-2094</v>
      </c>
      <c r="D22" s="219">
        <f t="shared" si="5"/>
        <v>-3967</v>
      </c>
      <c r="E22" s="219">
        <f t="shared" si="5"/>
        <v>-4476</v>
      </c>
      <c r="F22" s="219">
        <f t="shared" si="5"/>
        <v>-3411</v>
      </c>
      <c r="G22" s="219">
        <f t="shared" si="5"/>
        <v>-5345</v>
      </c>
      <c r="H22" s="219">
        <f t="shared" si="5"/>
        <v>-6986</v>
      </c>
      <c r="I22" s="219">
        <f t="shared" si="5"/>
        <v>-8096</v>
      </c>
      <c r="J22" s="219">
        <f t="shared" si="5"/>
        <v>-9960</v>
      </c>
      <c r="K22" s="219">
        <f t="shared" si="5"/>
        <v>-1338</v>
      </c>
      <c r="L22" s="219">
        <f t="shared" si="5"/>
        <v>-7151</v>
      </c>
      <c r="M22" s="219">
        <f t="shared" si="5"/>
        <v>-11494</v>
      </c>
      <c r="N22" s="219">
        <f t="shared" si="5"/>
        <v>-1573</v>
      </c>
      <c r="O22" s="219">
        <f t="shared" si="5"/>
        <v>4249</v>
      </c>
      <c r="P22" s="219">
        <f t="shared" si="5"/>
        <v>10126</v>
      </c>
      <c r="Q22" s="219">
        <f t="shared" si="5"/>
        <v>1740</v>
      </c>
      <c r="R22" s="219">
        <f t="shared" si="5"/>
        <v>-443</v>
      </c>
      <c r="S22" s="219">
        <f t="shared" si="5"/>
        <v>-4685</v>
      </c>
      <c r="T22" s="219">
        <f t="shared" si="5"/>
        <v>20</v>
      </c>
      <c r="U22" s="219">
        <f t="shared" si="5"/>
        <v>-6269</v>
      </c>
      <c r="V22" s="219">
        <f t="shared" si="5"/>
        <v>17256</v>
      </c>
      <c r="W22" s="219">
        <f>W20-W21</f>
        <v>-7275</v>
      </c>
      <c r="X22" s="219">
        <f>X20-X21</f>
        <v>827</v>
      </c>
      <c r="Y22" s="219">
        <f aca="true" t="shared" si="6" ref="Y22:AQ22">Y20-Y21</f>
        <v>892.1602712500026</v>
      </c>
      <c r="Z22" s="219">
        <f t="shared" si="6"/>
        <v>743.1221767120878</v>
      </c>
      <c r="AA22" s="219">
        <f t="shared" si="6"/>
        <v>223.9255245248205</v>
      </c>
      <c r="AB22" s="219">
        <f t="shared" si="6"/>
        <v>-153.42696358187823</v>
      </c>
      <c r="AC22" s="219">
        <f t="shared" si="6"/>
        <v>-189.86166198048159</v>
      </c>
      <c r="AD22" s="219">
        <f t="shared" si="6"/>
        <v>114.67728037858615</v>
      </c>
      <c r="AE22" s="219">
        <f t="shared" si="6"/>
        <v>317.73360602761386</v>
      </c>
      <c r="AF22" s="219">
        <f t="shared" si="6"/>
        <v>1165.0635275720851</v>
      </c>
      <c r="AG22" s="219">
        <f t="shared" si="6"/>
        <v>1971.5554211705457</v>
      </c>
      <c r="AH22" s="219">
        <f t="shared" si="6"/>
        <v>1309.466190576728</v>
      </c>
      <c r="AI22" s="219">
        <f t="shared" si="6"/>
        <v>2124.7541199900734</v>
      </c>
      <c r="AJ22" s="219">
        <f t="shared" si="6"/>
        <v>3640.096493325138</v>
      </c>
      <c r="AK22" s="219">
        <f t="shared" si="6"/>
        <v>5126.722800269548</v>
      </c>
      <c r="AL22" s="219">
        <f t="shared" si="6"/>
        <v>5437.5639989565825</v>
      </c>
      <c r="AM22" s="219">
        <f t="shared" si="6"/>
        <v>6869.682594863232</v>
      </c>
      <c r="AN22" s="219">
        <f t="shared" si="6"/>
        <v>8534.400145685708</v>
      </c>
      <c r="AO22" s="219">
        <f t="shared" si="6"/>
        <v>10321.320588499657</v>
      </c>
      <c r="AP22" s="219">
        <f t="shared" si="6"/>
        <v>12152.638826882874</v>
      </c>
      <c r="AQ22" s="219">
        <f t="shared" si="6"/>
        <v>13727.185120407143</v>
      </c>
    </row>
    <row r="23" spans="1:43" ht="12.75">
      <c r="A23" s="226" t="s">
        <v>206</v>
      </c>
      <c r="B23" s="219">
        <f>'Cash Flow'!B27</f>
        <v>3697</v>
      </c>
      <c r="C23" s="219">
        <f>'Cash Flow'!C27</f>
        <v>9355</v>
      </c>
      <c r="D23" s="219">
        <f>'Cash Flow'!D27</f>
        <v>4314</v>
      </c>
      <c r="E23" s="219">
        <f>'Cash Flow'!E27</f>
        <v>10815</v>
      </c>
      <c r="F23" s="219">
        <f>'Cash Flow'!F27</f>
        <v>10068</v>
      </c>
      <c r="G23" s="219">
        <f>'Cash Flow'!G27</f>
        <v>9437</v>
      </c>
      <c r="H23" s="219">
        <f>'Cash Flow'!H27</f>
        <v>15091</v>
      </c>
      <c r="I23" s="219">
        <f>'Cash Flow'!I27</f>
        <v>16584</v>
      </c>
      <c r="J23" s="219">
        <f>'Cash Flow'!J27</f>
        <v>24107</v>
      </c>
      <c r="K23" s="219">
        <f>'Cash Flow'!K27</f>
        <v>18663</v>
      </c>
      <c r="L23" s="219">
        <f>'Cash Flow'!L27</f>
        <v>18433</v>
      </c>
      <c r="M23" s="219">
        <f>'Cash Flow'!M27</f>
        <v>18361</v>
      </c>
      <c r="N23" s="219">
        <f>'Cash Flow'!N27</f>
        <v>25251</v>
      </c>
      <c r="O23" s="219">
        <f>'Cash Flow'!O27</f>
        <v>32570</v>
      </c>
      <c r="P23" s="219">
        <f>'Cash Flow'!P27</f>
        <v>40491</v>
      </c>
      <c r="Q23" s="219">
        <f>'Cash Flow'!Q27</f>
        <v>34377</v>
      </c>
      <c r="R23" s="219">
        <f>'Cash Flow'!R27</f>
        <v>36612</v>
      </c>
      <c r="S23" s="219">
        <f>'Cash Flow'!S27</f>
        <v>45975</v>
      </c>
      <c r="T23" s="219">
        <f>'Cash Flow'!T27</f>
        <v>30959</v>
      </c>
      <c r="U23" s="219">
        <f>'Cash Flow'!U27</f>
        <v>44912</v>
      </c>
      <c r="V23" s="219">
        <f>'Cash Flow'!V27</f>
        <v>55510</v>
      </c>
      <c r="W23" s="219">
        <f>'Cash Flow'!W27</f>
        <v>62933</v>
      </c>
      <c r="X23" s="219">
        <f>'Cash Flow'!X27</f>
        <v>39861.815</v>
      </c>
      <c r="Y23" s="219">
        <f>'Cash Flow'!Y27</f>
        <v>43250.01283624998</v>
      </c>
      <c r="Z23" s="219">
        <f>'Cash Flow'!Z27</f>
        <v>47344.32789028621</v>
      </c>
      <c r="AA23" s="219">
        <f>'Cash Flow'!AA27</f>
        <v>50915.47824200994</v>
      </c>
      <c r="AB23" s="219">
        <f>'Cash Flow'!AB27</f>
        <v>52680.445768459875</v>
      </c>
      <c r="AC23" s="219">
        <f>'Cash Flow'!AC27</f>
        <v>53404.49040151044</v>
      </c>
      <c r="AD23" s="219">
        <f>'Cash Flow'!AD27</f>
        <v>56218.16513905367</v>
      </c>
      <c r="AE23" s="219">
        <f>'Cash Flow'!AE27</f>
        <v>59422.33184893151</v>
      </c>
      <c r="AF23" s="219">
        <f>'Cash Flow'!AF27</f>
        <v>62128.17790691329</v>
      </c>
      <c r="AG23" s="219">
        <f>'Cash Flow'!AG27</f>
        <v>61236.23371214586</v>
      </c>
      <c r="AH23" s="219">
        <f>'Cash Flow'!AH27</f>
        <v>65385.39112574856</v>
      </c>
      <c r="AI23" s="219">
        <f>'Cash Flow'!AI27</f>
        <v>65294.92288058038</v>
      </c>
      <c r="AJ23" s="219">
        <f>'Cash Flow'!AJ27</f>
        <v>67863.50301268806</v>
      </c>
      <c r="AK23" s="219">
        <f>'Cash Flow'!AK27</f>
        <v>68113.22836754941</v>
      </c>
      <c r="AL23" s="219">
        <f>'Cash Flow'!AL27</f>
        <v>68934.64123696652</v>
      </c>
      <c r="AM23" s="219">
        <f>'Cash Flow'!AM27</f>
        <v>72517.75318534469</v>
      </c>
      <c r="AN23" s="219">
        <f>'Cash Flow'!AN27</f>
        <v>75846.0701271221</v>
      </c>
      <c r="AO23" s="219">
        <f>'Cash Flow'!AO27</f>
        <v>79386.6187202997</v>
      </c>
      <c r="AP23" s="219">
        <f>'Cash Flow'!AP27</f>
        <v>83206.9741443685</v>
      </c>
      <c r="AQ23" s="219">
        <f>'Cash Flow'!AQ27</f>
        <v>0</v>
      </c>
    </row>
    <row r="24" spans="1:43" ht="12.75">
      <c r="A24" s="226" t="s">
        <v>207</v>
      </c>
      <c r="B24" s="219">
        <f>'Operating Statement'!B13+'Operating Statement'!B14+'Operating Statement'!B15+'Operating Statement'!B16+'Operating Statement'!B20+'Operating Statement'!B21+'Operating Statement'!B22+'Operating Statement'!B23+'Operating Statement'!B25</f>
        <v>47944</v>
      </c>
      <c r="C24" s="219">
        <f>'Operating Statement'!C13+'Operating Statement'!C14+'Operating Statement'!C15+'Operating Statement'!C16+'Operating Statement'!C20+'Operating Statement'!C21+'Operating Statement'!C22+'Operating Statement'!C23+'Operating Statement'!C25</f>
        <v>52676</v>
      </c>
      <c r="D24" s="219">
        <f>'Operating Statement'!D13+'Operating Statement'!D14+'Operating Statement'!D15+'Operating Statement'!D16+'Operating Statement'!D20+'Operating Statement'!D21+'Operating Statement'!D22+'Operating Statement'!D23+'Operating Statement'!D25</f>
        <v>44121</v>
      </c>
      <c r="E24" s="219">
        <f>'Operating Statement'!E13+'Operating Statement'!E14+'Operating Statement'!E15+'Operating Statement'!E16+'Operating Statement'!E20+'Operating Statement'!E21+'Operating Statement'!E22+'Operating Statement'!E23+'Operating Statement'!E25</f>
        <v>57855</v>
      </c>
      <c r="F24" s="219">
        <f>'Operating Statement'!F13+'Operating Statement'!F14+'Operating Statement'!F15+'Operating Statement'!F16+'Operating Statement'!F20+'Operating Statement'!F21+'Operating Statement'!F22+'Operating Statement'!F23+'Operating Statement'!F25</f>
        <v>61915</v>
      </c>
      <c r="G24" s="219">
        <f>'Operating Statement'!G13+'Operating Statement'!G14+'Operating Statement'!G15+'Operating Statement'!G16+'Operating Statement'!G20+'Operating Statement'!G21+'Operating Statement'!G22+'Operating Statement'!G23+'Operating Statement'!G25</f>
        <v>56557</v>
      </c>
      <c r="H24" s="219">
        <f>'Operating Statement'!H13+'Operating Statement'!H14+'Operating Statement'!H15+'Operating Statement'!H16+'Operating Statement'!H20+'Operating Statement'!H21+'Operating Statement'!H22+'Operating Statement'!H23+'Operating Statement'!H25</f>
        <v>70096</v>
      </c>
      <c r="I24" s="219">
        <f>'Operating Statement'!I13+'Operating Statement'!I14+'Operating Statement'!I15+'Operating Statement'!I16+'Operating Statement'!I20+'Operating Statement'!I21+'Operating Statement'!I22+'Operating Statement'!I23+'Operating Statement'!I25</f>
        <v>73703</v>
      </c>
      <c r="J24" s="219">
        <f>'Operating Statement'!J13+'Operating Statement'!J14+'Operating Statement'!J15+'Operating Statement'!J16+'Operating Statement'!J20+'Operating Statement'!J21+'Operating Statement'!J22+'Operating Statement'!J23+'Operating Statement'!J25</f>
        <v>80300</v>
      </c>
      <c r="K24" s="219">
        <f>'Operating Statement'!K13+'Operating Statement'!K14+'Operating Statement'!K15+'Operating Statement'!K16+'Operating Statement'!K20+'Operating Statement'!K21+'Operating Statement'!K22+'Operating Statement'!K23+'Operating Statement'!K25</f>
        <v>81529</v>
      </c>
      <c r="L24" s="219">
        <f>'Operating Statement'!L13+'Operating Statement'!L14+'Operating Statement'!L15+'Operating Statement'!L16+'Operating Statement'!L20+'Operating Statement'!L21+'Operating Statement'!L22+'Operating Statement'!L23+'Operating Statement'!L25</f>
        <v>86979</v>
      </c>
      <c r="M24" s="219">
        <f>'Operating Statement'!M13+'Operating Statement'!M14+'Operating Statement'!M15+'Operating Statement'!M16+'Operating Statement'!M20+'Operating Statement'!M21+'Operating Statement'!M22+'Operating Statement'!M23+'Operating Statement'!M25</f>
        <v>89100</v>
      </c>
      <c r="N24" s="219">
        <f>'Operating Statement'!N13+'Operating Statement'!N14+'Operating Statement'!N15+'Operating Statement'!N16+'Operating Statement'!N20+'Operating Statement'!N21+'Operating Statement'!N22+'Operating Statement'!N23+'Operating Statement'!N25</f>
        <v>96891</v>
      </c>
      <c r="O24" s="219">
        <f>'Operating Statement'!O13+'Operating Statement'!O14+'Operating Statement'!O15+'Operating Statement'!O16+'Operating Statement'!O20+'Operating Statement'!O21+'Operating Statement'!O22+'Operating Statement'!O23+'Operating Statement'!O25</f>
        <v>106993</v>
      </c>
      <c r="P24" s="219">
        <f>'Operating Statement'!P13+'Operating Statement'!P14+'Operating Statement'!P15+'Operating Statement'!P16+'Operating Statement'!P20+'Operating Statement'!P21+'Operating Statement'!P22+'Operating Statement'!P23+'Operating Statement'!P25</f>
        <v>115143</v>
      </c>
      <c r="Q24" s="219">
        <f>'Operating Statement'!Q13+'Operating Statement'!Q14+'Operating Statement'!Q15+'Operating Statement'!Q16+'Operating Statement'!Q20+'Operating Statement'!Q21+'Operating Statement'!Q22+'Operating Statement'!Q23+'Operating Statement'!Q25</f>
        <v>114058</v>
      </c>
      <c r="R24" s="219">
        <f>'Operating Statement'!R13+'Operating Statement'!R14+'Operating Statement'!R15+'Operating Statement'!R16+'Operating Statement'!R20+'Operating Statement'!R21+'Operating Statement'!R22+'Operating Statement'!R23+'Operating Statement'!R25</f>
        <v>121052</v>
      </c>
      <c r="S24" s="219">
        <f>'Operating Statement'!S13+'Operating Statement'!S14+'Operating Statement'!S15+'Operating Statement'!S16+'Operating Statement'!S20+'Operating Statement'!S21+'Operating Statement'!S22+'Operating Statement'!S23+'Operating Statement'!S25</f>
        <v>132381</v>
      </c>
      <c r="T24" s="219">
        <f>'Operating Statement'!T13+'Operating Statement'!T14+'Operating Statement'!T15+'Operating Statement'!T16+'Operating Statement'!T20+'Operating Statement'!T21+'Operating Statement'!T22+'Operating Statement'!T23+'Operating Statement'!T25</f>
        <v>133167</v>
      </c>
      <c r="U24" s="219">
        <f>'Operating Statement'!U13+'Operating Statement'!U14+'Operating Statement'!U15+'Operating Statement'!U16+'Operating Statement'!U20+'Operating Statement'!U21+'Operating Statement'!U22+'Operating Statement'!U23+'Operating Statement'!U25</f>
        <v>136228</v>
      </c>
      <c r="V24" s="219">
        <f>'Operating Statement'!V13+'Operating Statement'!V14+'Operating Statement'!V15+'Operating Statement'!V16+'Operating Statement'!V20+'Operating Statement'!V21+'Operating Statement'!V22+'Operating Statement'!V23+'Operating Statement'!V25</f>
        <v>162652</v>
      </c>
      <c r="W24" s="219">
        <f>'Operating Statement'!W13+'Operating Statement'!W14+'Operating Statement'!W15+'Operating Statement'!W16+'Operating Statement'!W20+'Operating Statement'!W21+'Operating Statement'!W22+'Operating Statement'!W23+'Operating Statement'!W25</f>
        <v>153822</v>
      </c>
      <c r="X24" s="219">
        <f>'Operating Statement'!X13+'Operating Statement'!X14+'Operating Statement'!X15+'Operating Statement'!X16+'Operating Statement'!X20+'Operating Statement'!X21+'Operating Statement'!X22+'Operating Statement'!X23+'Operating Statement'!X25</f>
        <v>165146</v>
      </c>
      <c r="Y24" s="219">
        <f>'Operating Statement'!Y13+'Operating Statement'!Y14+'Operating Statement'!Y15+'Operating Statement'!Y16+'Operating Statement'!Y20+'Operating Statement'!Y21+'Operating Statement'!Y22+'Operating Statement'!Y23+'Operating Statement'!Y25</f>
        <v>171673.382</v>
      </c>
      <c r="Z24" s="219">
        <f>'Operating Statement'!Z13+'Operating Statement'!Z14+'Operating Statement'!Z15+'Operating Statement'!Z16+'Operating Statement'!Z20+'Operating Statement'!Z21+'Operating Statement'!Z22+'Operating Statement'!Z23+'Operating Statement'!Z25</f>
        <v>178508.63761199996</v>
      </c>
      <c r="AA24" s="219">
        <f>'Operating Statement'!AA13+'Operating Statement'!AA14+'Operating Statement'!AA15+'Operating Statement'!AA16+'Operating Statement'!AA20+'Operating Statement'!AA21+'Operating Statement'!AA22+'Operating Statement'!AA23+'Operating Statement'!AA25</f>
        <v>185650.22822756198</v>
      </c>
      <c r="AB24" s="219">
        <f>'Operating Statement'!AB13+'Operating Statement'!AB14+'Operating Statement'!AB15+'Operating Statement'!AB16+'Operating Statement'!AB20+'Operating Statement'!AB21+'Operating Statement'!AB22+'Operating Statement'!AB23+'Operating Statement'!AB25</f>
        <v>193130.33676023438</v>
      </c>
      <c r="AC24" s="219">
        <f>'Operating Statement'!AC13+'Operating Statement'!AC14+'Operating Statement'!AC15+'Operating Statement'!AC16+'Operating Statement'!AC20+'Operating Statement'!AC21+'Operating Statement'!AC22+'Operating Statement'!AC23+'Operating Statement'!AC25</f>
        <v>200958.9040755432</v>
      </c>
      <c r="AD24" s="219">
        <f>'Operating Statement'!AD13+'Operating Statement'!AD14+'Operating Statement'!AD15+'Operating Statement'!AD16+'Operating Statement'!AD20+'Operating Statement'!AD21+'Operating Statement'!AD22+'Operating Statement'!AD23+'Operating Statement'!AD25</f>
        <v>209078.66727020012</v>
      </c>
      <c r="AE24" s="219">
        <f>'Operating Statement'!AE13+'Operating Statement'!AE14+'Operating Statement'!AE15+'Operating Statement'!AE16+'Operating Statement'!AE20+'Operating Statement'!AE21+'Operating Statement'!AE22+'Operating Statement'!AE23+'Operating Statement'!AE25</f>
        <v>217712.19989462683</v>
      </c>
      <c r="AF24" s="219">
        <f>'Operating Statement'!AF13+'Operating Statement'!AF14+'Operating Statement'!AF15+'Operating Statement'!AF16+'Operating Statement'!AF20+'Operating Statement'!AF21+'Operating Statement'!AF22+'Operating Statement'!AF23+'Operating Statement'!AF25</f>
        <v>226679.95421768865</v>
      </c>
      <c r="AG24" s="219">
        <f>'Operating Statement'!AG13+'Operating Statement'!AG14+'Operating Statement'!AG15+'Operating Statement'!AG16+'Operating Statement'!AG20+'Operating Statement'!AG21+'Operating Statement'!AG22+'Operating Statement'!AG23+'Operating Statement'!AG25</f>
        <v>236064.30563756905</v>
      </c>
      <c r="AH24" s="219">
        <f>'Operating Statement'!AH13+'Operating Statement'!AH14+'Operating Statement'!AH15+'Operating Statement'!AH16+'Operating Statement'!AH20+'Operating Statement'!AH21+'Operating Statement'!AH22+'Operating Statement'!AH23+'Operating Statement'!AH25</f>
        <v>245884.59934801207</v>
      </c>
      <c r="AI24" s="219">
        <f>'Operating Statement'!AI13+'Operating Statement'!AI14+'Operating Statement'!AI15+'Operating Statement'!AI16+'Operating Statement'!AI20+'Operating Statement'!AI21+'Operating Statement'!AI22+'Operating Statement'!AI23+'Operating Statement'!AI25</f>
        <v>256164.19937472284</v>
      </c>
      <c r="AJ24" s="219">
        <f>'Operating Statement'!AJ13+'Operating Statement'!AJ14+'Operating Statement'!AJ15+'Operating Statement'!AJ16+'Operating Statement'!AJ20+'Operating Statement'!AJ21+'Operating Statement'!AJ22+'Operating Statement'!AJ23+'Operating Statement'!AJ25</f>
        <v>266923.54010256805</v>
      </c>
      <c r="AK24" s="219">
        <f>'Operating Statement'!AK13+'Operating Statement'!AK14+'Operating Statement'!AK15+'Operating Statement'!AK16+'Operating Statement'!AK20+'Operating Statement'!AK21+'Operating Statement'!AK22+'Operating Statement'!AK23+'Operating Statement'!AK25</f>
        <v>278187.18042036257</v>
      </c>
      <c r="AL24" s="219">
        <f>'Operating Statement'!AL13+'Operating Statement'!AL14+'Operating Statement'!AL15+'Operating Statement'!AL16+'Operating Statement'!AL20+'Operating Statement'!AL21+'Operating Statement'!AL22+'Operating Statement'!AL23+'Operating Statement'!AL25</f>
        <v>289978.8606164892</v>
      </c>
      <c r="AM24" s="219">
        <f>'Operating Statement'!AM13+'Operating Statement'!AM14+'Operating Statement'!AM15+'Operating Statement'!AM16+'Operating Statement'!AM20+'Operating Statement'!AM21+'Operating Statement'!AM22+'Operating Statement'!AM23+'Operating Statement'!AM25</f>
        <v>302326.5621653889</v>
      </c>
      <c r="AN24" s="219">
        <f>'Operating Statement'!AN13+'Operating Statement'!AN14+'Operating Statement'!AN15+'Operating Statement'!AN16+'Operating Statement'!AN20+'Operating Statement'!AN21+'Operating Statement'!AN22+'Operating Statement'!AN23+'Operating Statement'!AN25</f>
        <v>315255.5705520938</v>
      </c>
      <c r="AO24" s="219">
        <f>'Operating Statement'!AO13+'Operating Statement'!AO14+'Operating Statement'!AO15+'Operating Statement'!AO16+'Operating Statement'!AO20+'Operating Statement'!AO21+'Operating Statement'!AO22+'Operating Statement'!AO23+'Operating Statement'!AO25</f>
        <v>328795.54128947295</v>
      </c>
      <c r="AP24" s="219">
        <f>'Operating Statement'!AP13+'Operating Statement'!AP14+'Operating Statement'!AP15+'Operating Statement'!AP16+'Operating Statement'!AP20+'Operating Statement'!AP21+'Operating Statement'!AP22+'Operating Statement'!AP23+'Operating Statement'!AP25</f>
        <v>342952.56929074746</v>
      </c>
      <c r="AQ24" s="219">
        <f>'Operating Statement'!AQ13+'Operating Statement'!AQ14+'Operating Statement'!AQ15+'Operating Statement'!AQ16+'Operating Statement'!AQ20+'Operating Statement'!AQ21+'Operating Statement'!AQ22+'Operating Statement'!AQ23+'Operating Statement'!AQ25</f>
        <v>357781.2617681077</v>
      </c>
    </row>
    <row r="25" spans="1:43" ht="12.75">
      <c r="A25" s="226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</row>
    <row r="26" spans="1:43" ht="12.75">
      <c r="A26" s="226" t="s">
        <v>199</v>
      </c>
      <c r="B26" s="223">
        <f aca="true" t="shared" si="7" ref="B26:V26">B22/B20</f>
        <v>0.13979264272080513</v>
      </c>
      <c r="C26" s="223">
        <f t="shared" si="7"/>
        <v>-0.0434665282823041</v>
      </c>
      <c r="D26" s="223">
        <f t="shared" si="7"/>
        <v>-0.09294969422901192</v>
      </c>
      <c r="E26" s="223">
        <f t="shared" si="7"/>
        <v>-0.07958182206101984</v>
      </c>
      <c r="F26" s="223">
        <f t="shared" si="7"/>
        <v>-0.057722572893574534</v>
      </c>
      <c r="G26" s="223">
        <f t="shared" si="7"/>
        <v>-0.09649407856730213</v>
      </c>
      <c r="H26" s="223">
        <f t="shared" si="7"/>
        <v>-0.10463722964471871</v>
      </c>
      <c r="I26" s="223">
        <f t="shared" si="7"/>
        <v>-0.11283938228243295</v>
      </c>
      <c r="J26" s="223">
        <f t="shared" si="7"/>
        <v>-0.12723393927006554</v>
      </c>
      <c r="K26" s="223">
        <f t="shared" si="7"/>
        <v>-0.016644068218288573</v>
      </c>
      <c r="L26" s="223">
        <f t="shared" si="7"/>
        <v>-0.08349192635057034</v>
      </c>
      <c r="M26" s="223">
        <f t="shared" si="7"/>
        <v>-0.13193599485754953</v>
      </c>
      <c r="N26" s="223">
        <f t="shared" si="7"/>
        <v>-0.01666754966887417</v>
      </c>
      <c r="O26" s="223">
        <f t="shared" si="7"/>
        <v>0.04050756001296547</v>
      </c>
      <c r="P26" s="223">
        <f t="shared" si="7"/>
        <v>0.08873971378243609</v>
      </c>
      <c r="Q26" s="223">
        <f t="shared" si="7"/>
        <v>0.015396867533846562</v>
      </c>
      <c r="R26" s="223">
        <f t="shared" si="7"/>
        <v>-0.0036694056059903253</v>
      </c>
      <c r="S26" s="223">
        <f t="shared" si="7"/>
        <v>-0.03554250686573505</v>
      </c>
      <c r="T26" s="223">
        <f t="shared" si="7"/>
        <v>0.00015068524113405712</v>
      </c>
      <c r="U26" s="223">
        <f t="shared" si="7"/>
        <v>-0.04617095553035101</v>
      </c>
      <c r="V26" s="223">
        <f t="shared" si="7"/>
        <v>0.10629281032868476</v>
      </c>
      <c r="W26" s="223">
        <f>W22/W20</f>
        <v>-0.04752199729565541</v>
      </c>
      <c r="X26" s="223">
        <f aca="true" t="shared" si="8" ref="X26:AQ26">X22/X20</f>
        <v>0.00501936126048482</v>
      </c>
      <c r="Y26" s="223">
        <f t="shared" si="8"/>
        <v>0.005208223573588701</v>
      </c>
      <c r="Z26" s="223">
        <f t="shared" si="8"/>
        <v>0.004171711680478406</v>
      </c>
      <c r="AA26" s="223">
        <f t="shared" si="8"/>
        <v>0.0012085840742481542</v>
      </c>
      <c r="AB26" s="223">
        <f t="shared" si="8"/>
        <v>-0.0007959756555225077</v>
      </c>
      <c r="AC26" s="223">
        <f t="shared" si="8"/>
        <v>-0.0009466062032056849</v>
      </c>
      <c r="AD26" s="223">
        <f t="shared" si="8"/>
        <v>0.000549355748605332</v>
      </c>
      <c r="AE26" s="223">
        <f t="shared" si="8"/>
        <v>0.0014621604468836144</v>
      </c>
      <c r="AF26" s="223">
        <f t="shared" si="8"/>
        <v>0.00514931654108487</v>
      </c>
      <c r="AG26" s="223">
        <f t="shared" si="8"/>
        <v>0.00836740413192892</v>
      </c>
      <c r="AH26" s="223">
        <f t="shared" si="8"/>
        <v>0.005335469725186226</v>
      </c>
      <c r="AI26" s="223">
        <f t="shared" si="8"/>
        <v>0.008309974551663558</v>
      </c>
      <c r="AJ26" s="223">
        <f t="shared" si="8"/>
        <v>0.013662613451761741</v>
      </c>
      <c r="AK26" s="223">
        <f t="shared" si="8"/>
        <v>0.018463287376487086</v>
      </c>
      <c r="AL26" s="223">
        <f t="shared" si="8"/>
        <v>0.018786312391243728</v>
      </c>
      <c r="AM26" s="223">
        <f t="shared" si="8"/>
        <v>0.022764739128452345</v>
      </c>
      <c r="AN26" s="223">
        <f t="shared" si="8"/>
        <v>0.02712126693124676</v>
      </c>
      <c r="AO26" s="223">
        <f t="shared" si="8"/>
        <v>0.03144897976031706</v>
      </c>
      <c r="AP26" s="223">
        <f t="shared" si="8"/>
        <v>0.03549774825789833</v>
      </c>
      <c r="AQ26" s="223">
        <f t="shared" si="8"/>
        <v>0.03843230842900316</v>
      </c>
    </row>
    <row r="27" spans="1:43" ht="12.75">
      <c r="A27" s="226" t="s">
        <v>198</v>
      </c>
      <c r="B27" s="223">
        <f aca="true" t="shared" si="9" ref="B27:V27">B58</f>
        <v>1.9080717488789238</v>
      </c>
      <c r="C27" s="223">
        <f t="shared" si="9"/>
        <v>2.244630541871921</v>
      </c>
      <c r="D27" s="223">
        <f t="shared" si="9"/>
        <v>1.248202614379085</v>
      </c>
      <c r="E27" s="223">
        <f t="shared" si="9"/>
        <v>1.2018582156039201</v>
      </c>
      <c r="F27" s="223">
        <f t="shared" si="9"/>
        <v>1.960992236318879</v>
      </c>
      <c r="G27" s="223">
        <f t="shared" si="9"/>
        <v>1.718919376693767</v>
      </c>
      <c r="H27" s="223">
        <f t="shared" si="9"/>
        <v>1.4859410275706368</v>
      </c>
      <c r="I27" s="223">
        <f t="shared" si="9"/>
        <v>1.6828320802005012</v>
      </c>
      <c r="J27" s="223">
        <f t="shared" si="9"/>
        <v>1.3569949561985666</v>
      </c>
      <c r="K27" s="223">
        <f t="shared" si="9"/>
        <v>1.8036742192284139</v>
      </c>
      <c r="L27" s="223">
        <f t="shared" si="9"/>
        <v>1.6392991520188689</v>
      </c>
      <c r="M27" s="223">
        <f t="shared" si="9"/>
        <v>1.626844130853111</v>
      </c>
      <c r="N27" s="223">
        <f t="shared" si="9"/>
        <v>2.0562983814215343</v>
      </c>
      <c r="O27" s="223">
        <f t="shared" si="9"/>
        <v>2.0420529801324503</v>
      </c>
      <c r="P27" s="223">
        <f t="shared" si="9"/>
        <v>2.5297447795823667</v>
      </c>
      <c r="Q27" s="223">
        <f t="shared" si="9"/>
        <v>2.4913757909777505</v>
      </c>
      <c r="R27" s="223">
        <f t="shared" si="9"/>
        <v>2.355864291624929</v>
      </c>
      <c r="S27" s="223">
        <f t="shared" si="9"/>
        <v>1.5397316514443817</v>
      </c>
      <c r="T27" s="223">
        <f t="shared" si="9"/>
        <v>1.8966657481399836</v>
      </c>
      <c r="U27" s="223">
        <f t="shared" si="9"/>
        <v>2.326820738938726</v>
      </c>
      <c r="V27" s="223">
        <f t="shared" si="9"/>
        <v>2.01078431372549</v>
      </c>
      <c r="W27" s="223">
        <f>W58</f>
        <v>1.2671648292731963</v>
      </c>
      <c r="X27" s="223">
        <f>X58</f>
        <v>1.3298705493848009</v>
      </c>
      <c r="Y27" s="223">
        <f aca="true" t="shared" si="10" ref="Y27:AQ27">Y58</f>
        <v>1.2422020664729072</v>
      </c>
      <c r="Z27" s="223">
        <f t="shared" si="10"/>
        <v>1.2315527991092499</v>
      </c>
      <c r="AA27" s="223">
        <f t="shared" si="10"/>
        <v>1.2141622938317134</v>
      </c>
      <c r="AB27" s="223">
        <f t="shared" si="10"/>
        <v>1.200439642624573</v>
      </c>
      <c r="AC27" s="223">
        <f t="shared" si="10"/>
        <v>1.2623028380871506</v>
      </c>
      <c r="AD27" s="223">
        <f t="shared" si="10"/>
        <v>1.294682017049444</v>
      </c>
      <c r="AE27" s="223">
        <f t="shared" si="10"/>
        <v>1.3679761705816227</v>
      </c>
      <c r="AF27" s="223">
        <f t="shared" si="10"/>
        <v>0.7881036239964846</v>
      </c>
      <c r="AG27" s="223">
        <f t="shared" si="10"/>
        <v>1.3179376438440353</v>
      </c>
      <c r="AH27" s="223">
        <f t="shared" si="10"/>
        <v>1.4445328925938925</v>
      </c>
      <c r="AI27" s="223">
        <f t="shared" si="10"/>
        <v>1.5257737379658707</v>
      </c>
      <c r="AJ27" s="223">
        <f t="shared" si="10"/>
        <v>1.5930813087254145</v>
      </c>
      <c r="AK27" s="223">
        <f t="shared" si="10"/>
        <v>1.6346215022330404</v>
      </c>
      <c r="AL27" s="223">
        <f t="shared" si="10"/>
        <v>1.7405397092939594</v>
      </c>
      <c r="AM27" s="223">
        <f t="shared" si="10"/>
        <v>1.7984349979110597</v>
      </c>
      <c r="AN27" s="223">
        <f t="shared" si="10"/>
        <v>2.0114540670183585</v>
      </c>
      <c r="AO27" s="223">
        <f t="shared" si="10"/>
        <v>2.574772851894161</v>
      </c>
      <c r="AP27" s="223">
        <f t="shared" si="10"/>
        <v>3.1703549309266315</v>
      </c>
      <c r="AQ27" s="223">
        <f t="shared" si="10"/>
        <v>3.974701409195235</v>
      </c>
    </row>
    <row r="28" spans="1:43" ht="12.75">
      <c r="A28" s="226" t="s">
        <v>200</v>
      </c>
      <c r="B28" s="223">
        <f aca="true" t="shared" si="11" ref="B28:V28">B23/B20</f>
        <v>0.0801882699982648</v>
      </c>
      <c r="C28" s="223">
        <f t="shared" si="11"/>
        <v>0.19418785677218475</v>
      </c>
      <c r="D28" s="223">
        <f t="shared" si="11"/>
        <v>0.10108015651725673</v>
      </c>
      <c r="E28" s="223">
        <f t="shared" si="11"/>
        <v>0.19228717729891187</v>
      </c>
      <c r="F28" s="223">
        <f t="shared" si="11"/>
        <v>0.1703755097896536</v>
      </c>
      <c r="G28" s="223">
        <f t="shared" si="11"/>
        <v>0.17036756210283074</v>
      </c>
      <c r="H28" s="223">
        <f t="shared" si="11"/>
        <v>0.22603498891618237</v>
      </c>
      <c r="I28" s="223">
        <f t="shared" si="11"/>
        <v>0.2311423314935608</v>
      </c>
      <c r="J28" s="223">
        <f t="shared" si="11"/>
        <v>0.307954676102758</v>
      </c>
      <c r="K28" s="223">
        <f t="shared" si="11"/>
        <v>0.23215862866810136</v>
      </c>
      <c r="L28" s="223">
        <f t="shared" si="11"/>
        <v>0.21521558920711276</v>
      </c>
      <c r="M28" s="223">
        <f t="shared" si="11"/>
        <v>0.21076011846001974</v>
      </c>
      <c r="N28" s="223">
        <f t="shared" si="11"/>
        <v>0.26756026490066226</v>
      </c>
      <c r="O28" s="223">
        <f t="shared" si="11"/>
        <v>0.31050393730813963</v>
      </c>
      <c r="P28" s="223">
        <f t="shared" si="11"/>
        <v>0.35484492897142206</v>
      </c>
      <c r="Q28" s="223">
        <f t="shared" si="11"/>
        <v>0.3041943190868065</v>
      </c>
      <c r="R28" s="223">
        <f t="shared" si="11"/>
        <v>0.3032602213239679</v>
      </c>
      <c r="S28" s="223">
        <f t="shared" si="11"/>
        <v>0.34878692703354724</v>
      </c>
      <c r="T28" s="223">
        <f t="shared" si="11"/>
        <v>0.23325321901346371</v>
      </c>
      <c r="U28" s="223">
        <f t="shared" si="11"/>
        <v>0.33077523604707687</v>
      </c>
      <c r="V28" s="223">
        <f t="shared" si="11"/>
        <v>0.3419282511210762</v>
      </c>
      <c r="W28" s="223">
        <f>W23/W20</f>
        <v>0.4110930385989666</v>
      </c>
      <c r="X28" s="223">
        <f aca="true" t="shared" si="12" ref="X28:AQ28">X23/X20</f>
        <v>0.24193573154003958</v>
      </c>
      <c r="Y28" s="223">
        <f t="shared" si="12"/>
        <v>0.25248348718349234</v>
      </c>
      <c r="Z28" s="223">
        <f t="shared" si="12"/>
        <v>0.2657798298230949</v>
      </c>
      <c r="AA28" s="223">
        <f t="shared" si="12"/>
        <v>0.2748040281098051</v>
      </c>
      <c r="AB28" s="223">
        <f t="shared" si="12"/>
        <v>0.2733049743983888</v>
      </c>
      <c r="AC28" s="223">
        <f t="shared" si="12"/>
        <v>0.26626240055933603</v>
      </c>
      <c r="AD28" s="223">
        <f t="shared" si="12"/>
        <v>0.26931029488339675</v>
      </c>
      <c r="AE28" s="223">
        <f t="shared" si="12"/>
        <v>0.2734522935025924</v>
      </c>
      <c r="AF28" s="223">
        <f t="shared" si="12"/>
        <v>0.2745924549112092</v>
      </c>
      <c r="AG28" s="223">
        <f t="shared" si="12"/>
        <v>0.2598903938914183</v>
      </c>
      <c r="AH28" s="223">
        <f t="shared" si="12"/>
        <v>0.2664152593869128</v>
      </c>
      <c r="AI28" s="223">
        <f t="shared" si="12"/>
        <v>0.2553703237403265</v>
      </c>
      <c r="AJ28" s="223">
        <f t="shared" si="12"/>
        <v>0.254716546895123</v>
      </c>
      <c r="AK28" s="223">
        <f t="shared" si="12"/>
        <v>0.2453017567917338</v>
      </c>
      <c r="AL28" s="223">
        <f t="shared" si="12"/>
        <v>0.2381632115234816</v>
      </c>
      <c r="AM28" s="223">
        <f t="shared" si="12"/>
        <v>0.24030917158825915</v>
      </c>
      <c r="AN28" s="223">
        <f t="shared" si="12"/>
        <v>0.241029419583005</v>
      </c>
      <c r="AO28" s="223">
        <f t="shared" si="12"/>
        <v>0.2418903805930159</v>
      </c>
      <c r="AP28" s="223">
        <f t="shared" si="12"/>
        <v>0.2430468199996573</v>
      </c>
      <c r="AQ28" s="223">
        <f t="shared" si="12"/>
        <v>0</v>
      </c>
    </row>
    <row r="29" spans="1:43" ht="12.75">
      <c r="A29" s="226" t="s">
        <v>201</v>
      </c>
      <c r="B29" s="223">
        <f>'Balance Sheet'!B34/Summary!B24</f>
        <v>0.41402469547805776</v>
      </c>
      <c r="C29" s="223">
        <f>'Balance Sheet'!C34/Summary!C24</f>
        <v>0.4582922013820336</v>
      </c>
      <c r="D29" s="223">
        <f>'Balance Sheet'!D34/Summary!D24</f>
        <v>0.6368622651345165</v>
      </c>
      <c r="E29" s="223">
        <f>'Balance Sheet'!E34/Summary!E24</f>
        <v>0.37253478523895944</v>
      </c>
      <c r="F29" s="223">
        <f>'Balance Sheet'!F34/Summary!F24</f>
        <v>0.3614309941048211</v>
      </c>
      <c r="G29" s="223">
        <f>'Balance Sheet'!G34/Summary!G24</f>
        <v>0.33811906572130773</v>
      </c>
      <c r="H29" s="223">
        <f>'Balance Sheet'!H34/Summary!H24</f>
        <v>0.22840104998858707</v>
      </c>
      <c r="I29" s="223">
        <f>'Balance Sheet'!I34/Summary!I24</f>
        <v>0.20783414515012957</v>
      </c>
      <c r="J29" s="223">
        <f>'Balance Sheet'!J34/Summary!J24</f>
        <v>0.1858530510585305</v>
      </c>
      <c r="K29" s="223">
        <f>'Balance Sheet'!K34/Summary!K24</f>
        <v>0.20414821719878817</v>
      </c>
      <c r="L29" s="223">
        <f>'Balance Sheet'!L34/Summary!L24</f>
        <v>0.1591648558847538</v>
      </c>
      <c r="M29" s="223">
        <f>'Balance Sheet'!M34/Summary!M24</f>
        <v>0.16316498316498315</v>
      </c>
      <c r="N29" s="223">
        <f>'Balance Sheet'!N34/Summary!N24</f>
        <v>0.16373037743443664</v>
      </c>
      <c r="O29" s="223">
        <f>'Balance Sheet'!O34/Summary!O24</f>
        <v>0.12622321086426214</v>
      </c>
      <c r="P29" s="223">
        <f>'Balance Sheet'!P34/Summary!P24</f>
        <v>0.10925544757388639</v>
      </c>
      <c r="Q29" s="223">
        <f>'Balance Sheet'!Q34/Summary!Q24</f>
        <v>0.09932665836679584</v>
      </c>
      <c r="R29" s="223">
        <f>'Balance Sheet'!R34/Summary!R24</f>
        <v>0.08323695601890096</v>
      </c>
      <c r="S29" s="223">
        <f>'Balance Sheet'!S34/Summary!S24</f>
        <v>0.0729711967729508</v>
      </c>
      <c r="T29" s="223">
        <f>'Balance Sheet'!T34/Summary!T24</f>
        <v>0.06720884303168202</v>
      </c>
      <c r="U29" s="223">
        <f>'Balance Sheet'!U34/Summary!U24</f>
        <v>0.23613354082861085</v>
      </c>
      <c r="V29" s="223">
        <f>'Balance Sheet'!V34/Summary!V24</f>
        <v>0.17309347564124633</v>
      </c>
      <c r="W29" s="223">
        <f>'Balance Sheet'!W34/Summary!W24</f>
        <v>0.2805450455721548</v>
      </c>
      <c r="X29" s="223">
        <f>'Balance Sheet'!X34/Summary!X24</f>
        <v>0.2874909162013519</v>
      </c>
      <c r="Y29" s="223">
        <f>'Balance Sheet'!Y34/Summary!Y24</f>
        <v>0.2920263506585386</v>
      </c>
      <c r="Z29" s="223">
        <f>'Balance Sheet'!Z34/Summary!Z24</f>
        <v>0.31985296176153344</v>
      </c>
      <c r="AA29" s="223">
        <f>'Balance Sheet'!AA34/Summary!AA24</f>
        <v>0.33716956650128294</v>
      </c>
      <c r="AB29" s="223">
        <f>'Balance Sheet'!AB34/Summary!AB24</f>
        <v>0.33252292124842986</v>
      </c>
      <c r="AC29" s="223">
        <f>'Balance Sheet'!AC34/Summary!AC24</f>
        <v>0.31295187631813876</v>
      </c>
      <c r="AD29" s="223">
        <f>'Balance Sheet'!AD34/Summary!AD24</f>
        <v>0.30225435624557656</v>
      </c>
      <c r="AE29" s="223">
        <f>'Balance Sheet'!AE34/Summary!AE24</f>
        <v>0.2628507948849499</v>
      </c>
      <c r="AF29" s="223">
        <f>'Balance Sheet'!AF34/Summary!AF24</f>
        <v>0.1552030544080005</v>
      </c>
      <c r="AG29" s="223">
        <f>'Balance Sheet'!AG34/Summary!AG24</f>
        <v>0.2285191038568055</v>
      </c>
      <c r="AH29" s="223">
        <f>'Balance Sheet'!AH34/Summary!AH24</f>
        <v>0.20891228191771252</v>
      </c>
      <c r="AI29" s="223">
        <f>'Balance Sheet'!AI34/Summary!AI24</f>
        <v>0.16279345281981317</v>
      </c>
      <c r="AJ29" s="223">
        <f>'Balance Sheet'!AJ34/Summary!AJ24</f>
        <v>0.12343520015653385</v>
      </c>
      <c r="AK29" s="223">
        <f>'Balance Sheet'!AK34/Summary!AK24</f>
        <v>0.13754462856588243</v>
      </c>
      <c r="AL29" s="223">
        <f>'Balance Sheet'!AL34/Summary!AL24</f>
        <v>0.1100545747135043</v>
      </c>
      <c r="AM29" s="223">
        <f>'Balance Sheet'!AM34/Summary!AM24</f>
        <v>0.07536585088186301</v>
      </c>
      <c r="AN29" s="223">
        <f>'Balance Sheet'!AN34/Summary!AN24</f>
        <v>0.04655426490240805</v>
      </c>
      <c r="AO29" s="223">
        <f>'Balance Sheet'!AO34/Summary!AO24</f>
        <v>0.0339335921930439</v>
      </c>
      <c r="AP29" s="223">
        <f>'Balance Sheet'!AP34/Summary!AP24</f>
        <v>0.025680388274703498</v>
      </c>
      <c r="AQ29" s="223">
        <f>'Balance Sheet'!AQ34/Summary!AQ24</f>
        <v>0.018047609406565572</v>
      </c>
    </row>
    <row r="30" spans="1:43" ht="12.75">
      <c r="A30" s="226" t="s">
        <v>202</v>
      </c>
      <c r="B30" s="223">
        <f>'Operating Statement'!B47/'Operating Statement'!B31</f>
        <v>0</v>
      </c>
      <c r="C30" s="223">
        <f>'Operating Statement'!C47/'Operating Statement'!C31</f>
        <v>0</v>
      </c>
      <c r="D30" s="223">
        <f>'Operating Statement'!D47/'Operating Statement'!D31</f>
        <v>0</v>
      </c>
      <c r="E30" s="223">
        <f>'Operating Statement'!E47/'Operating Statement'!E31</f>
        <v>0</v>
      </c>
      <c r="F30" s="223">
        <f>'Operating Statement'!F47/'Operating Statement'!F31</f>
        <v>0</v>
      </c>
      <c r="G30" s="223">
        <f>'Operating Statement'!G47/'Operating Statement'!G31</f>
        <v>0.7391838741396264</v>
      </c>
      <c r="H30" s="223">
        <f>'Operating Statement'!H47/'Operating Statement'!H31</f>
        <v>1.3683474279900807</v>
      </c>
      <c r="I30" s="223">
        <f>'Operating Statement'!I47/'Operating Statement'!I31</f>
        <v>1.142970454094785</v>
      </c>
      <c r="J30" s="223">
        <f>'Operating Statement'!J47/'Operating Statement'!J31</f>
        <v>1.4936028079710144</v>
      </c>
      <c r="K30" s="223">
        <f>'Operating Statement'!K47/'Operating Statement'!K31</f>
        <v>2.2444444444444445</v>
      </c>
      <c r="L30" s="223">
        <f>'Operating Statement'!L47/'Operating Statement'!L31</f>
        <v>1.5722032113714135</v>
      </c>
      <c r="M30" s="223">
        <f>'Operating Statement'!M47/'Operating Statement'!M31</f>
        <v>1.325002499250225</v>
      </c>
      <c r="N30" s="223">
        <f>'Operating Statement'!N47/'Operating Statement'!N31</f>
        <v>1.3900115328686757</v>
      </c>
      <c r="O30" s="223">
        <f>'Operating Statement'!O47/'Operating Statement'!O31</f>
        <v>1.6789832547879273</v>
      </c>
      <c r="P30" s="223">
        <f>'Operating Statement'!P47/'Operating Statement'!P31</f>
        <v>1.4311882147703043</v>
      </c>
      <c r="Q30" s="223">
        <f>'Operating Statement'!Q47/'Operating Statement'!Q31</f>
        <v>2.1696997270245677</v>
      </c>
      <c r="R30" s="223">
        <f>'Operating Statement'!R47/'Operating Statement'!R31</f>
        <v>1.5969855588966848</v>
      </c>
      <c r="S30" s="223">
        <f>'Operating Statement'!S47/'Operating Statement'!S31</f>
        <v>2.3432296975874958</v>
      </c>
      <c r="T30" s="223">
        <f>'Operating Statement'!T47/'Operating Statement'!T31</f>
        <v>2.269254877379926</v>
      </c>
      <c r="U30" s="223">
        <f>'Operating Statement'!U47/'Operating Statement'!U31</f>
        <v>2.4739044706450444</v>
      </c>
      <c r="V30" s="223">
        <f>'Operating Statement'!V47/'Operating Statement'!V31</f>
        <v>2.62597258243794</v>
      </c>
      <c r="W30" s="223">
        <f>'Operating Statement'!W47/'Operating Statement'!W31</f>
        <v>3.456767435449784</v>
      </c>
      <c r="X30" s="223">
        <f>'Operating Statement'!X47/'Operating Statement'!X31</f>
        <v>1.925847652301755</v>
      </c>
      <c r="Y30" s="223">
        <f>'Operating Statement'!Y47/'Operating Statement'!Y31</f>
        <v>1.9762650287321795</v>
      </c>
      <c r="Z30" s="223">
        <f>'Operating Statement'!Z47/'Operating Statement'!Z31</f>
        <v>1.996309681549187</v>
      </c>
      <c r="AA30" s="223">
        <f>'Operating Statement'!AA47/'Operating Statement'!AA31</f>
        <v>1.9060774633122417</v>
      </c>
      <c r="AB30" s="223">
        <f>'Operating Statement'!AB47/'Operating Statement'!AB31</f>
        <v>1.7954055989421864</v>
      </c>
      <c r="AC30" s="223">
        <f>'Operating Statement'!AC47/'Operating Statement'!AC31</f>
        <v>1.6651016170564805</v>
      </c>
      <c r="AD30" s="223">
        <f>'Operating Statement'!AD47/'Operating Statement'!AD31</f>
        <v>1.7134979427504617</v>
      </c>
      <c r="AE30" s="223">
        <f>'Operating Statement'!AE47/'Operating Statement'!AE31</f>
        <v>1.5923151531985527</v>
      </c>
      <c r="AF30" s="223">
        <f>'Operating Statement'!AF47/'Operating Statement'!AF31</f>
        <v>1.701183942932886</v>
      </c>
      <c r="AG30" s="223">
        <f>'Operating Statement'!AG47/'Operating Statement'!AG31</f>
        <v>1.5589510696276396</v>
      </c>
      <c r="AH30" s="223">
        <f>'Operating Statement'!AH47/'Operating Statement'!AH31</f>
        <v>1.4564699157548207</v>
      </c>
      <c r="AI30" s="223">
        <f>'Operating Statement'!AI47/'Operating Statement'!AI31</f>
        <v>1.4142396942442406</v>
      </c>
      <c r="AJ30" s="223">
        <f>'Operating Statement'!AJ47/'Operating Statement'!AJ31</f>
        <v>1.360706739731119</v>
      </c>
      <c r="AK30" s="223">
        <f>'Operating Statement'!AK47/'Operating Statement'!AK31</f>
        <v>1.5922414873880242</v>
      </c>
      <c r="AL30" s="223">
        <f>'Operating Statement'!AL47/'Operating Statement'!AL31</f>
        <v>1.319442746434533</v>
      </c>
      <c r="AM30" s="223">
        <f>'Operating Statement'!AM47/'Operating Statement'!AM31</f>
        <v>1.31361067490798</v>
      </c>
      <c r="AN30" s="223">
        <f>'Operating Statement'!AN47/'Operating Statement'!AN31</f>
        <v>1.2967579563091007</v>
      </c>
      <c r="AO30" s="223">
        <f>'Operating Statement'!AO47/'Operating Statement'!AO31</f>
        <v>1.331006110902651</v>
      </c>
      <c r="AP30" s="223">
        <f>'Operating Statement'!AP47/'Operating Statement'!AP31</f>
        <v>1.3287243149510741</v>
      </c>
      <c r="AQ30" s="223">
        <f>'Operating Statement'!AQ47/'Operating Statement'!AQ31</f>
        <v>2.2559653087070717</v>
      </c>
    </row>
    <row r="31" spans="1:43" ht="12.75">
      <c r="A31" s="2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2.75">
      <c r="A32" s="2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2.75">
      <c r="A33" s="228" t="s">
        <v>25</v>
      </c>
      <c r="B33" s="219">
        <f>'Operating Statement'!B29</f>
        <v>18154</v>
      </c>
      <c r="C33" s="219">
        <f>'Operating Statement'!C29</f>
        <v>22198</v>
      </c>
      <c r="D33" s="219">
        <f>'Operating Statement'!D29</f>
        <v>20841</v>
      </c>
      <c r="E33" s="219">
        <f>'Operating Statement'!E29</f>
        <v>19817</v>
      </c>
      <c r="F33" s="219">
        <f>'Operating Statement'!F29</f>
        <v>19862</v>
      </c>
      <c r="G33" s="219">
        <f>'Operating Statement'!G29</f>
        <v>21719</v>
      </c>
      <c r="H33" s="219">
        <f>'Operating Statement'!H29</f>
        <v>24166</v>
      </c>
      <c r="I33" s="219">
        <f>'Operating Statement'!I29</f>
        <v>26781</v>
      </c>
      <c r="J33" s="219">
        <f>'Operating Statement'!J29</f>
        <v>31312</v>
      </c>
      <c r="K33" s="219">
        <f>'Operating Statement'!K29</f>
        <v>27988</v>
      </c>
      <c r="L33" s="219">
        <f>'Operating Statement'!L29</f>
        <v>31940</v>
      </c>
      <c r="M33" s="219">
        <f>'Operating Statement'!M29</f>
        <v>33207</v>
      </c>
      <c r="N33" s="219">
        <f>'Operating Statement'!N29</f>
        <v>34404</v>
      </c>
      <c r="O33" s="219">
        <f>'Operating Statement'!O29</f>
        <v>35769</v>
      </c>
      <c r="P33" s="219">
        <f>'Operating Statement'!P29</f>
        <v>37985</v>
      </c>
      <c r="Q33" s="219">
        <f>'Operating Statement'!Q29</f>
        <v>40849</v>
      </c>
      <c r="R33" s="219">
        <f>'Operating Statement'!R29</f>
        <v>45772</v>
      </c>
      <c r="S33" s="219">
        <f>'Operating Statement'!S29</f>
        <v>61562</v>
      </c>
      <c r="T33" s="219">
        <f>'Operating Statement'!T29</f>
        <v>53171</v>
      </c>
      <c r="U33" s="219">
        <f>'Operating Statement'!U29</f>
        <v>53327</v>
      </c>
      <c r="V33" s="219">
        <f>'Operating Statement'!V29</f>
        <v>57204</v>
      </c>
      <c r="W33" s="219">
        <f>'Operating Statement'!W29</f>
        <v>58537</v>
      </c>
      <c r="X33" s="219">
        <f>'Operating Statement'!X29</f>
        <v>60223</v>
      </c>
      <c r="Y33" s="219">
        <f>'Operating Statement'!Y29</f>
        <v>62029.69</v>
      </c>
      <c r="Z33" s="219">
        <f>'Operating Statement'!Z29</f>
        <v>63890.580700000006</v>
      </c>
      <c r="AA33" s="219">
        <f>'Operating Statement'!AA29</f>
        <v>65807.29812100001</v>
      </c>
      <c r="AB33" s="219">
        <f>'Operating Statement'!AB29</f>
        <v>67781.51706463001</v>
      </c>
      <c r="AC33" s="219">
        <f>'Operating Statement'!AC29</f>
        <v>69814.96257656891</v>
      </c>
      <c r="AD33" s="219">
        <f>'Operating Statement'!AD29</f>
        <v>71909.41145386598</v>
      </c>
      <c r="AE33" s="219">
        <f>'Operating Statement'!AE29</f>
        <v>74066.69379748196</v>
      </c>
      <c r="AF33" s="219">
        <f>'Operating Statement'!AF29</f>
        <v>76288.69461140642</v>
      </c>
      <c r="AG33" s="219">
        <f>'Operating Statement'!AG29</f>
        <v>78577.35544974862</v>
      </c>
      <c r="AH33" s="219">
        <f>'Operating Statement'!AH29</f>
        <v>80934.67611324108</v>
      </c>
      <c r="AI33" s="219">
        <f>'Operating Statement'!AI29</f>
        <v>83362.71639663831</v>
      </c>
      <c r="AJ33" s="219">
        <f>'Operating Statement'!AJ29</f>
        <v>85863.59788853746</v>
      </c>
      <c r="AK33" s="219">
        <f>'Operating Statement'!AK29</f>
        <v>88439.50582519358</v>
      </c>
      <c r="AL33" s="219">
        <f>'Operating Statement'!AL29</f>
        <v>91092.6909999494</v>
      </c>
      <c r="AM33" s="219">
        <f>'Operating Statement'!AM29</f>
        <v>93825.47172994788</v>
      </c>
      <c r="AN33" s="219">
        <f>'Operating Statement'!AN29</f>
        <v>96640.23588184633</v>
      </c>
      <c r="AO33" s="219">
        <f>'Operating Statement'!AO29</f>
        <v>99539.44295830172</v>
      </c>
      <c r="AP33" s="219">
        <f>'Operating Statement'!AP29</f>
        <v>102525.62624705078</v>
      </c>
      <c r="AQ33" s="219">
        <f>'Operating Statement'!AQ29</f>
        <v>105601.3950344623</v>
      </c>
    </row>
    <row r="34" spans="1:43" ht="12.75">
      <c r="A34" s="228" t="s">
        <v>189</v>
      </c>
      <c r="B34" s="12"/>
      <c r="C34" s="222">
        <f>(C33-B33)/B33</f>
        <v>0.22276082406081305</v>
      </c>
      <c r="D34" s="222">
        <f aca="true" t="shared" si="13" ref="D34:AQ34">(D33-C33)/C33</f>
        <v>-0.06113163348049374</v>
      </c>
      <c r="E34" s="222">
        <f t="shared" si="13"/>
        <v>-0.049133918717911805</v>
      </c>
      <c r="F34" s="222">
        <f t="shared" si="13"/>
        <v>0.002270777615178887</v>
      </c>
      <c r="G34" s="222">
        <f t="shared" si="13"/>
        <v>0.09349511630248716</v>
      </c>
      <c r="H34" s="222">
        <f t="shared" si="13"/>
        <v>0.11266632902067314</v>
      </c>
      <c r="I34" s="222">
        <f t="shared" si="13"/>
        <v>0.10820988165190763</v>
      </c>
      <c r="J34" s="222">
        <f t="shared" si="13"/>
        <v>0.16918711026473993</v>
      </c>
      <c r="K34" s="222">
        <f t="shared" si="13"/>
        <v>-0.10615738375063874</v>
      </c>
      <c r="L34" s="222">
        <f t="shared" si="13"/>
        <v>0.1412033728740889</v>
      </c>
      <c r="M34" s="222">
        <f t="shared" si="13"/>
        <v>0.03966812773951158</v>
      </c>
      <c r="N34" s="222">
        <f t="shared" si="13"/>
        <v>0.036046616677206614</v>
      </c>
      <c r="O34" s="222">
        <f t="shared" si="13"/>
        <v>0.0396756191140565</v>
      </c>
      <c r="P34" s="222">
        <f t="shared" si="13"/>
        <v>0.0619530878693841</v>
      </c>
      <c r="Q34" s="222">
        <f t="shared" si="13"/>
        <v>0.07539818349348427</v>
      </c>
      <c r="R34" s="222">
        <f t="shared" si="13"/>
        <v>0.12051702612059047</v>
      </c>
      <c r="S34" s="222">
        <f t="shared" si="13"/>
        <v>0.3449707244603688</v>
      </c>
      <c r="T34" s="222">
        <f t="shared" si="13"/>
        <v>-0.13630161463240312</v>
      </c>
      <c r="U34" s="222">
        <f t="shared" si="13"/>
        <v>0.002933930149893739</v>
      </c>
      <c r="V34" s="222">
        <f t="shared" si="13"/>
        <v>0.0727023834080297</v>
      </c>
      <c r="W34" s="222">
        <f t="shared" si="13"/>
        <v>0.023302566254108103</v>
      </c>
      <c r="X34" s="222">
        <f t="shared" si="13"/>
        <v>0.02880229598373678</v>
      </c>
      <c r="Y34" s="222">
        <f t="shared" si="13"/>
        <v>0.030000000000000037</v>
      </c>
      <c r="Z34" s="222">
        <f t="shared" si="13"/>
        <v>0.030000000000000058</v>
      </c>
      <c r="AA34" s="222">
        <f t="shared" si="13"/>
        <v>0.03000000000000013</v>
      </c>
      <c r="AB34" s="222">
        <f t="shared" si="13"/>
        <v>0.029999999999999933</v>
      </c>
      <c r="AC34" s="222">
        <f t="shared" si="13"/>
        <v>0.030000000000000027</v>
      </c>
      <c r="AD34" s="222">
        <f t="shared" si="13"/>
        <v>0.02999999999999997</v>
      </c>
      <c r="AE34" s="222">
        <f t="shared" si="13"/>
        <v>0.03000000000000003</v>
      </c>
      <c r="AF34" s="222">
        <f t="shared" si="13"/>
        <v>0.030000000000000016</v>
      </c>
      <c r="AG34" s="222">
        <f t="shared" si="13"/>
        <v>0.030000000000000086</v>
      </c>
      <c r="AH34" s="222">
        <f t="shared" si="13"/>
        <v>0.029999999999999985</v>
      </c>
      <c r="AI34" s="222">
        <f t="shared" si="13"/>
        <v>0.03000000000000001</v>
      </c>
      <c r="AJ34" s="222">
        <f t="shared" si="13"/>
        <v>0.030000000000000075</v>
      </c>
      <c r="AK34" s="222">
        <f t="shared" si="13"/>
        <v>0.029999999999999954</v>
      </c>
      <c r="AL34" s="222">
        <f t="shared" si="13"/>
        <v>0.03000000000000003</v>
      </c>
      <c r="AM34" s="222">
        <f t="shared" si="13"/>
        <v>0.030000000000000037</v>
      </c>
      <c r="AN34" s="222">
        <f t="shared" si="13"/>
        <v>0.030000000000000096</v>
      </c>
      <c r="AO34" s="222">
        <f t="shared" si="13"/>
        <v>0.03000000000000004</v>
      </c>
      <c r="AP34" s="222">
        <f t="shared" si="13"/>
        <v>0.030000000000000086</v>
      </c>
      <c r="AQ34" s="222">
        <f t="shared" si="13"/>
        <v>0.029999999999999985</v>
      </c>
    </row>
    <row r="35" spans="1:43" ht="12.75">
      <c r="A35" s="228" t="s">
        <v>26</v>
      </c>
      <c r="B35" s="219">
        <f>'Operating Statement'!B30</f>
        <v>14952</v>
      </c>
      <c r="C35" s="219">
        <f>'Operating Statement'!C30</f>
        <v>15453</v>
      </c>
      <c r="D35" s="219">
        <f>'Operating Statement'!D30</f>
        <v>15969</v>
      </c>
      <c r="E35" s="219">
        <f>'Operating Statement'!E30</f>
        <v>18516</v>
      </c>
      <c r="F35" s="219">
        <f>'Operating Statement'!F30</f>
        <v>20441</v>
      </c>
      <c r="G35" s="219">
        <f>'Operating Statement'!G30</f>
        <v>20620</v>
      </c>
      <c r="H35" s="219">
        <f>'Operating Statement'!H30</f>
        <v>25598</v>
      </c>
      <c r="I35" s="219">
        <f>'Operating Statement'!I30</f>
        <v>28070</v>
      </c>
      <c r="J35" s="219">
        <f>'Operating Statement'!J30</f>
        <v>30103</v>
      </c>
      <c r="K35" s="219">
        <f>'Operating Statement'!K30</f>
        <v>28566</v>
      </c>
      <c r="L35" s="219">
        <f>'Operating Statement'!L30</f>
        <v>31027</v>
      </c>
      <c r="M35" s="219">
        <f>'Operating Statement'!M30</f>
        <v>31221</v>
      </c>
      <c r="N35" s="219">
        <f>'Operating Statement'!N30</f>
        <v>32890</v>
      </c>
      <c r="O35" s="219">
        <f>'Operating Statement'!O30</f>
        <v>36591</v>
      </c>
      <c r="P35" s="219">
        <f>'Operating Statement'!P30</f>
        <v>37563</v>
      </c>
      <c r="Q35" s="219">
        <f>'Operating Statement'!Q30</f>
        <v>38950</v>
      </c>
      <c r="R35" s="219">
        <f>'Operating Statement'!R30</f>
        <v>42009</v>
      </c>
      <c r="S35" s="219">
        <f>'Operating Statement'!S30</f>
        <v>45418</v>
      </c>
      <c r="T35" s="219">
        <f>'Operating Statement'!T30</f>
        <v>46594</v>
      </c>
      <c r="U35" s="219">
        <f>'Operating Statement'!U30</f>
        <v>48620</v>
      </c>
      <c r="V35" s="219">
        <f>'Operating Statement'!V30</f>
        <v>56542</v>
      </c>
      <c r="W35" s="219">
        <f>'Operating Statement'!W30</f>
        <v>64954</v>
      </c>
      <c r="X35" s="219">
        <f>'Operating Statement'!X30</f>
        <v>66442</v>
      </c>
      <c r="Y35" s="219">
        <f>'Operating Statement'!Y30</f>
        <v>69672.46172875</v>
      </c>
      <c r="Z35" s="219">
        <f>'Operating Statement'!Z30</f>
        <v>73062.93459752876</v>
      </c>
      <c r="AA35" s="219">
        <f>'Operating Statement'!AA30</f>
        <v>76621.4369022336</v>
      </c>
      <c r="AB35" s="219">
        <f>'Operating Statement'!AB30</f>
        <v>80356.39160368532</v>
      </c>
      <c r="AC35" s="219">
        <f>'Operating Statement'!AC30</f>
        <v>84276.6468374942</v>
      </c>
      <c r="AD35" s="219">
        <f>'Operating Statement'!AD30</f>
        <v>88391.49746608797</v>
      </c>
      <c r="AE35" s="219">
        <f>'Operating Statement'!AE30</f>
        <v>92710.70772593646</v>
      </c>
      <c r="AF35" s="219">
        <f>'Operating Statement'!AF30</f>
        <v>97244.53502570957</v>
      </c>
      <c r="AG35" s="219">
        <f>'Operating Statement'!AG30</f>
        <v>102003.75495394363</v>
      </c>
      <c r="AH35" s="219">
        <f>'Operating Statement'!AH30</f>
        <v>106999.6875577753</v>
      </c>
      <c r="AI35" s="219">
        <f>'Operating Statement'!AI30</f>
        <v>112244.2249574378</v>
      </c>
      <c r="AJ35" s="219">
        <f>'Operating Statement'!AJ30</f>
        <v>117749.86036450956</v>
      </c>
      <c r="AK35" s="219">
        <f>'Operating Statement'!AK30</f>
        <v>123529.71857536926</v>
      </c>
      <c r="AL35" s="219">
        <f>'Operating Statement'!AL30</f>
        <v>129597.5880149509</v>
      </c>
      <c r="AM35" s="219">
        <f>'Operating Statement'!AM30</f>
        <v>135967.95440971834</v>
      </c>
      <c r="AN35" s="219">
        <f>'Operating Statement'!AN30</f>
        <v>142656.03617279907</v>
      </c>
      <c r="AO35" s="219">
        <f>'Operating Statement'!AO30</f>
        <v>149677.82158844246</v>
      </c>
      <c r="AP35" s="219">
        <f>'Operating Statement'!AP30</f>
        <v>157050.10788740858</v>
      </c>
      <c r="AQ35" s="219">
        <f>'Operating Statement'!AQ30</f>
        <v>164790.54230956064</v>
      </c>
    </row>
    <row r="36" spans="1:43" ht="12.75">
      <c r="A36" s="228" t="s">
        <v>190</v>
      </c>
      <c r="B36" s="12"/>
      <c r="C36" s="20">
        <f>(C35-B35)/B35</f>
        <v>0.03350722311396469</v>
      </c>
      <c r="D36" s="20">
        <f aca="true" t="shared" si="14" ref="D36:AQ36">(D35-C35)/C35</f>
        <v>0.0333915744515628</v>
      </c>
      <c r="E36" s="20">
        <f t="shared" si="14"/>
        <v>0.15949652451625024</v>
      </c>
      <c r="F36" s="20">
        <f t="shared" si="14"/>
        <v>0.10396413912292071</v>
      </c>
      <c r="G36" s="20">
        <f t="shared" si="14"/>
        <v>0.008756910131598258</v>
      </c>
      <c r="H36" s="20">
        <f t="shared" si="14"/>
        <v>0.24141610087293888</v>
      </c>
      <c r="I36" s="20">
        <f t="shared" si="14"/>
        <v>0.09657004453472928</v>
      </c>
      <c r="J36" s="20">
        <f t="shared" si="14"/>
        <v>0.0724260776629854</v>
      </c>
      <c r="K36" s="20">
        <f t="shared" si="14"/>
        <v>-0.05105803408298176</v>
      </c>
      <c r="L36" s="20">
        <f t="shared" si="14"/>
        <v>0.0861513687600644</v>
      </c>
      <c r="M36" s="20">
        <f t="shared" si="14"/>
        <v>0.0062526186869500755</v>
      </c>
      <c r="N36" s="20">
        <f t="shared" si="14"/>
        <v>0.05345760866083726</v>
      </c>
      <c r="O36" s="20">
        <f t="shared" si="14"/>
        <v>0.11252660383095166</v>
      </c>
      <c r="P36" s="20">
        <f t="shared" si="14"/>
        <v>0.02656390915798967</v>
      </c>
      <c r="Q36" s="20">
        <f t="shared" si="14"/>
        <v>0.03692463328275165</v>
      </c>
      <c r="R36" s="20">
        <f t="shared" si="14"/>
        <v>0.07853658536585366</v>
      </c>
      <c r="S36" s="20">
        <f t="shared" si="14"/>
        <v>0.08114927753576615</v>
      </c>
      <c r="T36" s="20">
        <f t="shared" si="14"/>
        <v>0.02589281782553173</v>
      </c>
      <c r="U36" s="20">
        <f t="shared" si="14"/>
        <v>0.043481993389706826</v>
      </c>
      <c r="V36" s="20">
        <f t="shared" si="14"/>
        <v>0.16293706293706295</v>
      </c>
      <c r="W36" s="20">
        <f t="shared" si="14"/>
        <v>0.1487743624208553</v>
      </c>
      <c r="X36" s="20">
        <f t="shared" si="14"/>
        <v>0.022908519875604275</v>
      </c>
      <c r="Y36" s="20">
        <f t="shared" si="14"/>
        <v>0.04862077795295145</v>
      </c>
      <c r="Z36" s="20">
        <f t="shared" si="14"/>
        <v>0.048663026749056225</v>
      </c>
      <c r="AA36" s="20">
        <f t="shared" si="14"/>
        <v>0.048704617797068424</v>
      </c>
      <c r="AB36" s="20">
        <f t="shared" si="14"/>
        <v>0.0487455580638274</v>
      </c>
      <c r="AC36" s="20">
        <f t="shared" si="14"/>
        <v>0.048785854560810006</v>
      </c>
      <c r="AD36" s="20">
        <f t="shared" si="14"/>
        <v>0.04882551433884396</v>
      </c>
      <c r="AE36" s="20">
        <f t="shared" si="14"/>
        <v>0.04886454448297574</v>
      </c>
      <c r="AF36" s="20">
        <f t="shared" si="14"/>
        <v>0.04890295210749148</v>
      </c>
      <c r="AG36" s="20">
        <f t="shared" si="14"/>
        <v>0.04894074435109195</v>
      </c>
      <c r="AH36" s="20">
        <f t="shared" si="14"/>
        <v>0.04897792837221934</v>
      </c>
      <c r="AI36" s="20">
        <f t="shared" si="14"/>
        <v>0.04901451134453706</v>
      </c>
      <c r="AJ36" s="20">
        <f t="shared" si="14"/>
        <v>0.04905050045255747</v>
      </c>
      <c r="AK36" s="20">
        <f t="shared" si="14"/>
        <v>0.04908590288742104</v>
      </c>
      <c r="AL36" s="20">
        <f t="shared" si="14"/>
        <v>0.049120725842821775</v>
      </c>
      <c r="AM36" s="20">
        <f t="shared" si="14"/>
        <v>0.04915497651107924</v>
      </c>
      <c r="AN36" s="20">
        <f t="shared" si="14"/>
        <v>0.04918866207935461</v>
      </c>
      <c r="AO36" s="20">
        <f t="shared" si="14"/>
        <v>0.04922178972600858</v>
      </c>
      <c r="AP36" s="20">
        <f t="shared" si="14"/>
        <v>0.04925436661710062</v>
      </c>
      <c r="AQ36" s="20">
        <f t="shared" si="14"/>
        <v>0.04928639990302512</v>
      </c>
    </row>
    <row r="37" spans="1:43" ht="12.75">
      <c r="A37" s="22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ht="12.75">
      <c r="A38" s="228" t="s">
        <v>238</v>
      </c>
      <c r="B38" s="222">
        <f aca="true" t="shared" si="15" ref="B38:AQ38">B33/B6</f>
        <v>0.8224155114614479</v>
      </c>
      <c r="C38" s="222">
        <f t="shared" si="15"/>
        <v>1.2046453573560536</v>
      </c>
      <c r="D38" s="222">
        <f t="shared" si="15"/>
        <v>1.476828231292517</v>
      </c>
      <c r="E38" s="222">
        <f t="shared" si="15"/>
        <v>0.9670131264334163</v>
      </c>
      <c r="F38" s="222">
        <f t="shared" si="15"/>
        <v>0.8881237703451976</v>
      </c>
      <c r="G38" s="222">
        <f t="shared" si="15"/>
        <v>0.9091632131943572</v>
      </c>
      <c r="H38" s="222">
        <f t="shared" si="15"/>
        <v>0.889469616106592</v>
      </c>
      <c r="I38" s="222">
        <f t="shared" si="15"/>
        <v>0.9391569645111516</v>
      </c>
      <c r="J38" s="222">
        <f t="shared" si="15"/>
        <v>0.9956120826709062</v>
      </c>
      <c r="K38" s="222">
        <f t="shared" si="15"/>
        <v>0.8089017341040462</v>
      </c>
      <c r="L38" s="222">
        <f t="shared" si="15"/>
        <v>0.8671336265406961</v>
      </c>
      <c r="M38" s="222">
        <f t="shared" si="15"/>
        <v>0.8276919242273181</v>
      </c>
      <c r="N38" s="222">
        <f t="shared" si="15"/>
        <v>0.779959192926774</v>
      </c>
      <c r="O38" s="222">
        <f t="shared" si="15"/>
        <v>0.7355638726659538</v>
      </c>
      <c r="P38" s="222">
        <f t="shared" si="15"/>
        <v>0.7118094595607526</v>
      </c>
      <c r="Q38" s="222">
        <f t="shared" si="15"/>
        <v>0.7170139193624827</v>
      </c>
      <c r="R38" s="222">
        <f t="shared" si="15"/>
        <v>0.74968471050692</v>
      </c>
      <c r="S38" s="222">
        <f t="shared" si="15"/>
        <v>0.9544792086576328</v>
      </c>
      <c r="T38" s="222">
        <f t="shared" si="15"/>
        <v>0.7733738654875495</v>
      </c>
      <c r="U38" s="222">
        <f t="shared" si="15"/>
        <v>0.7119189384027982</v>
      </c>
      <c r="V38" s="222">
        <f t="shared" si="15"/>
        <v>0.6286015691962814</v>
      </c>
      <c r="W38" s="222">
        <f t="shared" si="15"/>
        <v>0.5962819598655393</v>
      </c>
      <c r="X38" s="222">
        <f t="shared" si="15"/>
        <v>0.5755421122547474</v>
      </c>
      <c r="Y38" s="222">
        <f t="shared" si="15"/>
        <v>0.5640422222858134</v>
      </c>
      <c r="Z38" s="222">
        <f t="shared" si="15"/>
        <v>0.552772111279151</v>
      </c>
      <c r="AA38" s="222">
        <f t="shared" si="15"/>
        <v>0.5417271880280929</v>
      </c>
      <c r="AB38" s="222">
        <f t="shared" si="15"/>
        <v>0.5309029530627362</v>
      </c>
      <c r="AC38" s="222">
        <f t="shared" si="15"/>
        <v>0.5202949968169537</v>
      </c>
      <c r="AD38" s="222">
        <f t="shared" si="15"/>
        <v>0.5098989978320289</v>
      </c>
      <c r="AE38" s="222">
        <f t="shared" si="15"/>
        <v>0.4997107209961844</v>
      </c>
      <c r="AF38" s="222">
        <f t="shared" si="15"/>
        <v>0.4897260158192863</v>
      </c>
      <c r="AG38" s="222">
        <f t="shared" si="15"/>
        <v>0.4799408147420219</v>
      </c>
      <c r="AH38" s="222">
        <f t="shared" si="15"/>
        <v>0.4703511314788607</v>
      </c>
      <c r="AI38" s="222">
        <f t="shared" si="15"/>
        <v>0.4609530593941261</v>
      </c>
      <c r="AJ38" s="222">
        <f t="shared" si="15"/>
        <v>0.45174276991051376</v>
      </c>
      <c r="AK38" s="222">
        <f t="shared" si="15"/>
        <v>0.4427165109494093</v>
      </c>
      <c r="AL38" s="222">
        <f t="shared" si="15"/>
        <v>0.4338706054023707</v>
      </c>
      <c r="AM38" s="222">
        <f t="shared" si="15"/>
        <v>0.42520144963315115</v>
      </c>
      <c r="AN38" s="222">
        <f t="shared" si="15"/>
        <v>0.4167055120096535</v>
      </c>
      <c r="AO38" s="222">
        <f t="shared" si="15"/>
        <v>0.40837933146521704</v>
      </c>
      <c r="AP38" s="222">
        <f t="shared" si="15"/>
        <v>0.40021951608865236</v>
      </c>
      <c r="AQ38" s="222">
        <f t="shared" si="15"/>
        <v>0.3922227417424471</v>
      </c>
    </row>
    <row r="39" spans="1:43" ht="12.75">
      <c r="A39" s="228" t="s">
        <v>239</v>
      </c>
      <c r="B39" s="222">
        <f aca="true" t="shared" si="16" ref="B39:AQ39">B35/B6</f>
        <v>0.6773579777113345</v>
      </c>
      <c r="C39" s="222">
        <f t="shared" si="16"/>
        <v>0.8386063927931839</v>
      </c>
      <c r="D39" s="222">
        <f t="shared" si="16"/>
        <v>1.1315901360544218</v>
      </c>
      <c r="E39" s="222">
        <f t="shared" si="16"/>
        <v>0.9035280339628166</v>
      </c>
      <c r="F39" s="222">
        <f t="shared" si="16"/>
        <v>0.914013593274906</v>
      </c>
      <c r="G39" s="222">
        <f t="shared" si="16"/>
        <v>0.863158776005693</v>
      </c>
      <c r="H39" s="222">
        <f t="shared" si="16"/>
        <v>0.9421767455555965</v>
      </c>
      <c r="I39" s="222">
        <f t="shared" si="16"/>
        <v>0.9843596577360079</v>
      </c>
      <c r="J39" s="222">
        <f t="shared" si="16"/>
        <v>0.9571701112877583</v>
      </c>
      <c r="K39" s="222">
        <f t="shared" si="16"/>
        <v>0.825606936416185</v>
      </c>
      <c r="L39" s="222">
        <f t="shared" si="16"/>
        <v>0.8423467448552967</v>
      </c>
      <c r="M39" s="222">
        <f t="shared" si="16"/>
        <v>0.7781904287138585</v>
      </c>
      <c r="N39" s="222">
        <f t="shared" si="16"/>
        <v>0.7456359102244389</v>
      </c>
      <c r="O39" s="222">
        <f t="shared" si="16"/>
        <v>0.7524677140741959</v>
      </c>
      <c r="P39" s="222">
        <f t="shared" si="16"/>
        <v>0.7039015066336857</v>
      </c>
      <c r="Q39" s="222">
        <f t="shared" si="16"/>
        <v>0.6836811711221499</v>
      </c>
      <c r="R39" s="222">
        <f t="shared" si="16"/>
        <v>0.68805175661289</v>
      </c>
      <c r="S39" s="222">
        <f t="shared" si="16"/>
        <v>0.7041768737015102</v>
      </c>
      <c r="T39" s="222">
        <f t="shared" si="16"/>
        <v>0.6777111938561787</v>
      </c>
      <c r="U39" s="222">
        <f t="shared" si="16"/>
        <v>0.6490801804928844</v>
      </c>
      <c r="V39" s="222">
        <f t="shared" si="16"/>
        <v>0.6213270038021143</v>
      </c>
      <c r="W39" s="222">
        <f t="shared" si="16"/>
        <v>0.6616481613527554</v>
      </c>
      <c r="X39" s="222">
        <f t="shared" si="16"/>
        <v>0.6349761556619551</v>
      </c>
      <c r="Y39" s="222">
        <f t="shared" si="16"/>
        <v>0.6335387158247515</v>
      </c>
      <c r="Z39" s="222">
        <f t="shared" si="16"/>
        <v>0.6321299974305368</v>
      </c>
      <c r="AA39" s="222">
        <f t="shared" si="16"/>
        <v>0.6307494265970056</v>
      </c>
      <c r="AB39" s="222">
        <f t="shared" si="16"/>
        <v>0.6293964409085784</v>
      </c>
      <c r="AC39" s="222">
        <f t="shared" si="16"/>
        <v>0.6280704891872843</v>
      </c>
      <c r="AD39" s="222">
        <f t="shared" si="16"/>
        <v>0.6267710312682233</v>
      </c>
      <c r="AE39" s="222">
        <f t="shared" si="16"/>
        <v>0.6254975377795149</v>
      </c>
      <c r="AF39" s="222">
        <f t="shared" si="16"/>
        <v>0.6242494899266416</v>
      </c>
      <c r="AG39" s="222">
        <f t="shared" si="16"/>
        <v>0.6230263792811046</v>
      </c>
      <c r="AH39" s="222">
        <f t="shared" si="16"/>
        <v>0.6218277075732995</v>
      </c>
      <c r="AI39" s="222">
        <f t="shared" si="16"/>
        <v>0.6206529864895324</v>
      </c>
      <c r="AJ39" s="222">
        <f t="shared" si="16"/>
        <v>0.6195017374730908</v>
      </c>
      <c r="AK39" s="222">
        <f t="shared" si="16"/>
        <v>0.6183734915292898</v>
      </c>
      <c r="AL39" s="222">
        <f t="shared" si="16"/>
        <v>0.6172677890344135</v>
      </c>
      <c r="AM39" s="222">
        <f t="shared" si="16"/>
        <v>0.6161841795484737</v>
      </c>
      <c r="AN39" s="222">
        <f t="shared" si="16"/>
        <v>0.6151222216317107</v>
      </c>
      <c r="AO39" s="222">
        <f t="shared" si="16"/>
        <v>0.6140814826647594</v>
      </c>
      <c r="AP39" s="222">
        <f t="shared" si="16"/>
        <v>0.6130615386724093</v>
      </c>
      <c r="AQ39" s="222">
        <f t="shared" si="16"/>
        <v>0.6120619741508864</v>
      </c>
    </row>
    <row r="40" spans="1:43" ht="12.75">
      <c r="A40" s="228" t="s">
        <v>240</v>
      </c>
      <c r="B40" s="222">
        <f aca="true" t="shared" si="17" ref="B40:AQ40">(B33+B35)/B6</f>
        <v>1.4997734891727825</v>
      </c>
      <c r="C40" s="222">
        <f t="shared" si="17"/>
        <v>2.0432517501492375</v>
      </c>
      <c r="D40" s="222">
        <f t="shared" si="17"/>
        <v>2.608418367346939</v>
      </c>
      <c r="E40" s="222">
        <f t="shared" si="17"/>
        <v>1.8705411603962327</v>
      </c>
      <c r="F40" s="222">
        <f t="shared" si="17"/>
        <v>1.8021373636201037</v>
      </c>
      <c r="G40" s="222">
        <f t="shared" si="17"/>
        <v>1.7723219892000501</v>
      </c>
      <c r="H40" s="222">
        <f t="shared" si="17"/>
        <v>1.8316463616621885</v>
      </c>
      <c r="I40" s="222">
        <f t="shared" si="17"/>
        <v>1.9235166222471596</v>
      </c>
      <c r="J40" s="222">
        <f t="shared" si="17"/>
        <v>1.9527821939586645</v>
      </c>
      <c r="K40" s="222">
        <f t="shared" si="17"/>
        <v>1.6345086705202312</v>
      </c>
      <c r="L40" s="222">
        <f t="shared" si="17"/>
        <v>1.7094803713959927</v>
      </c>
      <c r="M40" s="222">
        <f t="shared" si="17"/>
        <v>1.6058823529411765</v>
      </c>
      <c r="N40" s="222">
        <f t="shared" si="17"/>
        <v>1.525595103151213</v>
      </c>
      <c r="O40" s="222">
        <f t="shared" si="17"/>
        <v>1.4880315867401497</v>
      </c>
      <c r="P40" s="222">
        <f t="shared" si="17"/>
        <v>1.4157109661944383</v>
      </c>
      <c r="Q40" s="222">
        <f t="shared" si="17"/>
        <v>1.4006950904846325</v>
      </c>
      <c r="R40" s="222">
        <f t="shared" si="17"/>
        <v>1.43773646711981</v>
      </c>
      <c r="S40" s="222">
        <f t="shared" si="17"/>
        <v>1.658656082359143</v>
      </c>
      <c r="T40" s="222">
        <f t="shared" si="17"/>
        <v>1.4510850593437281</v>
      </c>
      <c r="U40" s="222">
        <f t="shared" si="17"/>
        <v>1.3609991188956825</v>
      </c>
      <c r="V40" s="222">
        <f t="shared" si="17"/>
        <v>1.2499285729983955</v>
      </c>
      <c r="W40" s="222">
        <f t="shared" si="17"/>
        <v>1.2579301212182947</v>
      </c>
      <c r="X40" s="222">
        <f t="shared" si="17"/>
        <v>1.2105182679167026</v>
      </c>
      <c r="Y40" s="222">
        <f t="shared" si="17"/>
        <v>1.1975809381105649</v>
      </c>
      <c r="Z40" s="222">
        <f t="shared" si="17"/>
        <v>1.1849021087096878</v>
      </c>
      <c r="AA40" s="222">
        <f t="shared" si="17"/>
        <v>1.1724766146250987</v>
      </c>
      <c r="AB40" s="222">
        <f t="shared" si="17"/>
        <v>1.1602993939713144</v>
      </c>
      <c r="AC40" s="222">
        <f t="shared" si="17"/>
        <v>1.1483654860042378</v>
      </c>
      <c r="AD40" s="222">
        <f t="shared" si="17"/>
        <v>1.1366700291002523</v>
      </c>
      <c r="AE40" s="222">
        <f t="shared" si="17"/>
        <v>1.1252082587756993</v>
      </c>
      <c r="AF40" s="222">
        <f t="shared" si="17"/>
        <v>1.113975505745928</v>
      </c>
      <c r="AG40" s="222">
        <f t="shared" si="17"/>
        <v>1.1029671940231265</v>
      </c>
      <c r="AH40" s="222">
        <f t="shared" si="17"/>
        <v>1.09217883905216</v>
      </c>
      <c r="AI40" s="222">
        <f t="shared" si="17"/>
        <v>1.0816060458836585</v>
      </c>
      <c r="AJ40" s="222">
        <f t="shared" si="17"/>
        <v>1.0712445073836045</v>
      </c>
      <c r="AK40" s="222">
        <f t="shared" si="17"/>
        <v>1.0610900024786991</v>
      </c>
      <c r="AL40" s="222">
        <f t="shared" si="17"/>
        <v>1.0511383944367843</v>
      </c>
      <c r="AM40" s="222">
        <f t="shared" si="17"/>
        <v>1.041385629181625</v>
      </c>
      <c r="AN40" s="222">
        <f t="shared" si="17"/>
        <v>1.0318277336413644</v>
      </c>
      <c r="AO40" s="222">
        <f t="shared" si="17"/>
        <v>1.0224608141299765</v>
      </c>
      <c r="AP40" s="222">
        <f t="shared" si="17"/>
        <v>1.0132810547610616</v>
      </c>
      <c r="AQ40" s="222">
        <f t="shared" si="17"/>
        <v>1.0042847158933335</v>
      </c>
    </row>
    <row r="41" spans="1:43" ht="12.75">
      <c r="A41" s="22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</row>
    <row r="42" spans="1:43" ht="12.75">
      <c r="A42" s="22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</row>
    <row r="43" spans="1:43" ht="12.75">
      <c r="A43" s="228" t="s">
        <v>93</v>
      </c>
      <c r="B43" s="219">
        <f>'Operating Statement'!B37</f>
        <v>39659</v>
      </c>
      <c r="C43" s="219">
        <f>'Operating Statement'!C37</f>
        <v>50269</v>
      </c>
      <c r="D43" s="219">
        <f>'Operating Statement'!D37</f>
        <v>46646</v>
      </c>
      <c r="E43" s="219">
        <f>'Operating Statement'!E37</f>
        <v>60720</v>
      </c>
      <c r="F43" s="219">
        <f>'Operating Statement'!F37</f>
        <v>62504</v>
      </c>
      <c r="G43" s="219">
        <f>'Operating Statement'!G37</f>
        <v>60737</v>
      </c>
      <c r="H43" s="219">
        <f>'Operating Statement'!H37</f>
        <v>73750</v>
      </c>
      <c r="I43" s="219">
        <f>'Operating Statement'!I37</f>
        <v>79844</v>
      </c>
      <c r="J43" s="219">
        <f>'Operating Statement'!J37</f>
        <v>88241</v>
      </c>
      <c r="K43" s="219">
        <f>'Operating Statement'!K37</f>
        <v>81727</v>
      </c>
      <c r="L43" s="219">
        <f>'Operating Statement'!L37</f>
        <v>92800</v>
      </c>
      <c r="M43" s="219">
        <f>'Operating Statement'!M37</f>
        <v>98612</v>
      </c>
      <c r="N43" s="219">
        <f>'Operating Statement'!N37</f>
        <v>95948</v>
      </c>
      <c r="O43" s="219">
        <f>'Operating Statement'!O37</f>
        <v>100645</v>
      </c>
      <c r="P43" s="219">
        <f>'Operating Statement'!P37</f>
        <v>103983</v>
      </c>
      <c r="Q43" s="219">
        <f>'Operating Statement'!Q37</f>
        <v>111270</v>
      </c>
      <c r="R43" s="219">
        <f>'Operating Statement'!R37</f>
        <v>121171</v>
      </c>
      <c r="S43" s="219">
        <f>'Operating Statement'!S37</f>
        <v>136499</v>
      </c>
      <c r="T43" s="219">
        <f>'Operating Statement'!T37</f>
        <v>132707</v>
      </c>
      <c r="U43" s="219">
        <f>'Operating Statement'!U37</f>
        <v>142047</v>
      </c>
      <c r="V43" s="219">
        <f>'Operating Statement'!V37</f>
        <v>145088</v>
      </c>
      <c r="W43" s="219">
        <f>'Operating Statement'!W37</f>
        <v>160362</v>
      </c>
      <c r="X43" s="219">
        <f>'Operating Statement'!X37</f>
        <v>163935</v>
      </c>
      <c r="Y43" s="219">
        <f>'Operating Statement'!Y37</f>
        <v>170406.22172875</v>
      </c>
      <c r="Z43" s="219">
        <f>'Operating Statement'!Z37</f>
        <v>177390.51543528787</v>
      </c>
      <c r="AA43" s="219">
        <f>'Operating Statement'!AA37</f>
        <v>185055.30270303716</v>
      </c>
      <c r="AB43" s="219">
        <f>'Operating Statement'!AB37</f>
        <v>192906.76372381626</v>
      </c>
      <c r="AC43" s="219">
        <f>'Operating Statement'!AC37</f>
        <v>200760.76573752367</v>
      </c>
      <c r="AD43" s="219">
        <f>'Operating Statement'!AD37</f>
        <v>208633.98998982154</v>
      </c>
      <c r="AE43" s="219">
        <f>'Operating Statement'!AE37</f>
        <v>216986.46628859921</v>
      </c>
      <c r="AF43" s="219">
        <f>'Operating Statement'!AF37</f>
        <v>225090.89069011656</v>
      </c>
      <c r="AG43" s="219">
        <f>'Operating Statement'!AG37</f>
        <v>233651.7502163985</v>
      </c>
      <c r="AH43" s="219">
        <f>'Operating Statement'!AH37</f>
        <v>244117.13315743534</v>
      </c>
      <c r="AI43" s="219">
        <f>'Operating Statement'!AI37</f>
        <v>253562.44525473277</v>
      </c>
      <c r="AJ43" s="219">
        <f>'Operating Statement'!AJ37</f>
        <v>262787.44360924297</v>
      </c>
      <c r="AK43" s="219">
        <f>'Operating Statement'!AK37</f>
        <v>272544.457620093</v>
      </c>
      <c r="AL43" s="219">
        <f>'Operating Statement'!AL37</f>
        <v>284005.2966175326</v>
      </c>
      <c r="AM43" s="219">
        <f>'Operating Statement'!AM37</f>
        <v>294898.87957052566</v>
      </c>
      <c r="AN43" s="219">
        <f>'Operating Statement'!AN37</f>
        <v>306141.1704064081</v>
      </c>
      <c r="AO43" s="219">
        <f>'Operating Statement'!AO37</f>
        <v>317871.2207009733</v>
      </c>
      <c r="AP43" s="219">
        <f>'Operating Statement'!AP37</f>
        <v>330196.9304638646</v>
      </c>
      <c r="AQ43" s="219">
        <f>'Operating Statement'!AQ37</f>
        <v>343451.07664770057</v>
      </c>
    </row>
    <row r="44" spans="1:43" ht="12.75">
      <c r="A44" s="228" t="s">
        <v>123</v>
      </c>
      <c r="B44" s="219">
        <f>'Operating Statement'!B37-'Operating Statement'!B31</f>
        <v>37829</v>
      </c>
      <c r="C44" s="219">
        <f>'Operating Statement'!C37-'Operating Statement'!C31</f>
        <v>47082</v>
      </c>
      <c r="D44" s="219">
        <f>'Operating Statement'!D37-'Operating Statement'!D31</f>
        <v>43066</v>
      </c>
      <c r="E44" s="219">
        <f>'Operating Statement'!E37-'Operating Statement'!E31</f>
        <v>46303</v>
      </c>
      <c r="F44" s="219">
        <f>'Operating Statement'!F37-'Operating Statement'!F31</f>
        <v>48698</v>
      </c>
      <c r="G44" s="219">
        <f>'Operating Statement'!G37-'Operating Statement'!G31</f>
        <v>48533</v>
      </c>
      <c r="H44" s="219">
        <f>'Operating Statement'!H37-'Operating Statement'!H31</f>
        <v>58023</v>
      </c>
      <c r="I44" s="219">
        <f>'Operating Statement'!I37-'Operating Statement'!I31</f>
        <v>64715</v>
      </c>
      <c r="J44" s="219">
        <f>'Operating Statement'!J37-'Operating Statement'!J31</f>
        <v>70577</v>
      </c>
      <c r="K44" s="219">
        <f>'Operating Statement'!K37-'Operating Statement'!K31</f>
        <v>64267</v>
      </c>
      <c r="L44" s="219">
        <f>'Operating Statement'!L37-'Operating Statement'!L31</f>
        <v>73805</v>
      </c>
      <c r="M44" s="219">
        <f>'Operating Statement'!M37-'Operating Statement'!M31</f>
        <v>78606</v>
      </c>
      <c r="N44" s="219">
        <f>'Operating Statement'!N37-'Operating Statement'!N31</f>
        <v>76005</v>
      </c>
      <c r="O44" s="219">
        <f>'Operating Statement'!O37-'Operating Statement'!O31</f>
        <v>80699</v>
      </c>
      <c r="P44" s="219">
        <f>'Operating Statement'!P37-'Operating Statement'!P31</f>
        <v>83347</v>
      </c>
      <c r="Q44" s="219">
        <f>'Operating Statement'!Q37-'Operating Statement'!Q31</f>
        <v>87092</v>
      </c>
      <c r="R44" s="219">
        <f>'Operating Statement'!R37-'Operating Statement'!R31</f>
        <v>94234</v>
      </c>
      <c r="S44" s="219">
        <f>'Operating Statement'!S37-'Operating Statement'!S31</f>
        <v>112955</v>
      </c>
      <c r="T44" s="219">
        <f>'Operating Statement'!T37-'Operating Statement'!T31</f>
        <v>107181</v>
      </c>
      <c r="U44" s="219">
        <f>'Operating Statement'!U37-'Operating Statement'!U31</f>
        <v>117196</v>
      </c>
      <c r="V44" s="219">
        <f>'Operating Statement'!V37-'Operating Statement'!V31</f>
        <v>118098</v>
      </c>
      <c r="W44" s="219">
        <f>'Operating Statement'!W37-'Operating Statement'!W31</f>
        <v>127713</v>
      </c>
      <c r="X44" s="219">
        <f>'Operating Statement'!X37-'Operating Statement'!X31</f>
        <v>131286</v>
      </c>
      <c r="Y44" s="219">
        <f>'Operating Statement'!Y37-'Operating Statement'!Y31</f>
        <v>136451.26172875002</v>
      </c>
      <c r="Z44" s="219">
        <f>'Operating Statement'!Z37-'Operating Statement'!Z31</f>
        <v>142077.3570352879</v>
      </c>
      <c r="AA44" s="219">
        <f>'Operating Statement'!AA37-'Operating Statement'!AA31</f>
        <v>148329.61796703716</v>
      </c>
      <c r="AB44" s="219">
        <f>'Operating Statement'!AB37-'Operating Statement'!AB31</f>
        <v>154712.05159837625</v>
      </c>
      <c r="AC44" s="219">
        <f>'Operating Statement'!AC37-'Operating Statement'!AC31</f>
        <v>161038.26512706606</v>
      </c>
      <c r="AD44" s="219">
        <f>'Operating Statement'!AD37-'Operating Statement'!AD31</f>
        <v>167322.58935494564</v>
      </c>
      <c r="AE44" s="219">
        <f>'Operating Statement'!AE37-'Operating Statement'!AE31</f>
        <v>174022.60962832827</v>
      </c>
      <c r="AF44" s="219">
        <f>'Operating Statement'!AF37-'Operating Statement'!AF31</f>
        <v>180408.47976343476</v>
      </c>
      <c r="AG44" s="219">
        <f>'Operating Statement'!AG37-'Operating Statement'!AG31</f>
        <v>187182.04285264944</v>
      </c>
      <c r="AH44" s="219">
        <f>'Operating Statement'!AH37-'Operating Statement'!AH31</f>
        <v>195788.63749913633</v>
      </c>
      <c r="AI44" s="219">
        <f>'Operating Statement'!AI37-'Operating Statement'!AI31</f>
        <v>203300.80977010177</v>
      </c>
      <c r="AJ44" s="219">
        <f>'Operating Statement'!AJ37-'Operating Statement'!AJ31</f>
        <v>210515.34270522674</v>
      </c>
      <c r="AK44" s="219">
        <f>'Operating Statement'!AK37-'Operating Statement'!AK31</f>
        <v>218181.47267991613</v>
      </c>
      <c r="AL44" s="219">
        <f>'Operating Statement'!AL37-'Operating Statement'!AL31</f>
        <v>227467.79227974865</v>
      </c>
      <c r="AM44" s="219">
        <f>'Operating Statement'!AM37-'Operating Statement'!AM31</f>
        <v>236099.87505923034</v>
      </c>
      <c r="AN44" s="219">
        <f>'Operating Statement'!AN37-'Operating Statement'!AN31</f>
        <v>244990.20571466093</v>
      </c>
      <c r="AO44" s="219">
        <f>'Operating Statement'!AO37-'Operating Statement'!AO31</f>
        <v>254274.21742155627</v>
      </c>
      <c r="AP44" s="219">
        <f>'Operating Statement'!AP37-'Operating Statement'!AP31</f>
        <v>264056.04705327086</v>
      </c>
      <c r="AQ44" s="219">
        <f>'Operating Statement'!AQ37-'Operating Statement'!AQ31</f>
        <v>274664.55790068314</v>
      </c>
    </row>
    <row r="45" spans="1:43" s="2" customFormat="1" ht="12.75">
      <c r="A45" s="227" t="s">
        <v>29</v>
      </c>
      <c r="B45" s="219">
        <f>'Operating Statement'!B41</f>
        <v>8285</v>
      </c>
      <c r="C45" s="219">
        <f>'Operating Statement'!C41</f>
        <v>2407</v>
      </c>
      <c r="D45" s="219">
        <f>'Operating Statement'!D41</f>
        <v>-2525</v>
      </c>
      <c r="E45" s="219">
        <f>'Operating Statement'!E41</f>
        <v>-2865</v>
      </c>
      <c r="F45" s="219">
        <f>'Operating Statement'!F41</f>
        <v>-589</v>
      </c>
      <c r="G45" s="219">
        <f>'Operating Statement'!G41</f>
        <v>-38136</v>
      </c>
      <c r="H45" s="219">
        <f>'Operating Statement'!H41</f>
        <v>3797</v>
      </c>
      <c r="I45" s="219">
        <f>'Operating Statement'!I41</f>
        <v>2615</v>
      </c>
      <c r="J45" s="219">
        <f>'Operating Statement'!J41</f>
        <v>2400</v>
      </c>
      <c r="K45" s="219">
        <f>'Operating Statement'!K41</f>
        <v>24862</v>
      </c>
      <c r="L45" s="219">
        <f>'Operating Statement'!L41</f>
        <v>8667</v>
      </c>
      <c r="M45" s="219">
        <f>'Operating Statement'!M41</f>
        <v>-544</v>
      </c>
      <c r="N45" s="219">
        <f>'Operating Statement'!N41</f>
        <v>10555</v>
      </c>
      <c r="O45" s="219">
        <f>'Operating Statement'!O41</f>
        <v>17331</v>
      </c>
      <c r="P45" s="219">
        <f>'Operating Statement'!P41</f>
        <v>27756</v>
      </c>
      <c r="Q45" s="219">
        <f>'Operating Statement'!Q41</f>
        <v>25016</v>
      </c>
      <c r="R45" s="219">
        <f>'Operating Statement'!R41</f>
        <v>19040</v>
      </c>
      <c r="S45" s="219">
        <f>'Operating Statement'!S41</f>
        <v>18074</v>
      </c>
      <c r="T45" s="219">
        <f>'Operating Statement'!T41</f>
        <v>32593</v>
      </c>
      <c r="U45" s="219">
        <f>'Operating Statement'!U41</f>
        <v>20216</v>
      </c>
      <c r="V45" s="219">
        <f>'Operating Statement'!V41</f>
        <v>47711</v>
      </c>
      <c r="W45" s="219">
        <f>'Operating Statement'!W41</f>
        <v>42952</v>
      </c>
      <c r="X45" s="219">
        <f>'Operating Statement'!X41</f>
        <v>25965</v>
      </c>
      <c r="Y45" s="219">
        <f>'Operating Statement'!Y41</f>
        <v>27965.160271250003</v>
      </c>
      <c r="Z45" s="219">
        <f>'Operating Statement'!Z41</f>
        <v>27809.122176712088</v>
      </c>
      <c r="AA45" s="219">
        <f>'Operating Statement'!AA41</f>
        <v>27259.92552452482</v>
      </c>
      <c r="AB45" s="219">
        <f>'Operating Statement'!AB41</f>
        <v>28264.57303641812</v>
      </c>
      <c r="AC45" s="219">
        <f>'Operating Statement'!AC41</f>
        <v>29552.13833801952</v>
      </c>
      <c r="AD45" s="219">
        <f>'Operating Statement'!AD41</f>
        <v>29758.677280378586</v>
      </c>
      <c r="AE45" s="219">
        <f>'Operating Statement'!AE41</f>
        <v>32887.733606027614</v>
      </c>
      <c r="AF45" s="219">
        <f>'Operating Statement'!AF41</f>
        <v>30592.063527572085</v>
      </c>
      <c r="AG45" s="219">
        <f>'Operating Statement'!AG41</f>
        <v>28681.555421170546</v>
      </c>
      <c r="AH45" s="219">
        <f>'Operating Statement'!AH41</f>
        <v>28175.466190576728</v>
      </c>
      <c r="AI45" s="219">
        <f>'Operating Statement'!AI41</f>
        <v>32004.754119990073</v>
      </c>
      <c r="AJ45" s="219">
        <f>'Operating Statement'!AJ41</f>
        <v>28684.096493325138</v>
      </c>
      <c r="AK45" s="219">
        <f>'Operating Statement'!AK41</f>
        <v>28064.72280026955</v>
      </c>
      <c r="AL45" s="219">
        <f>'Operating Statement'!AL41</f>
        <v>26692.563998956583</v>
      </c>
      <c r="AM45" s="219">
        <f>'Operating Statement'!AM41</f>
        <v>29047.682594863232</v>
      </c>
      <c r="AN45" s="219">
        <f>'Operating Statement'!AN41</f>
        <v>31214.400145685708</v>
      </c>
      <c r="AO45" s="219">
        <f>'Operating Statement'!AO41</f>
        <v>33540.32058849966</v>
      </c>
      <c r="AP45" s="219">
        <f>'Operating Statement'!AP41</f>
        <v>35980.638826882874</v>
      </c>
      <c r="AQ45" s="219">
        <f>'Operating Statement'!AQ41</f>
        <v>107496.18512040714</v>
      </c>
    </row>
    <row r="46" spans="1:43" s="2" customFormat="1" ht="12.75">
      <c r="A46" s="22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2" customFormat="1" ht="12.75">
      <c r="A47" s="228" t="s">
        <v>185</v>
      </c>
      <c r="B47" s="14"/>
      <c r="C47" s="222">
        <f aca="true" t="shared" si="18" ref="C47:W47">(C44-B44)/B44</f>
        <v>0.24460070316423907</v>
      </c>
      <c r="D47" s="222">
        <f t="shared" si="18"/>
        <v>-0.08529799073956076</v>
      </c>
      <c r="E47" s="222">
        <f t="shared" si="18"/>
        <v>0.07516370222449265</v>
      </c>
      <c r="F47" s="222">
        <f t="shared" si="18"/>
        <v>0.051724510290909874</v>
      </c>
      <c r="G47" s="222">
        <f t="shared" si="18"/>
        <v>-0.0033882294960778676</v>
      </c>
      <c r="H47" s="222">
        <f t="shared" si="18"/>
        <v>0.19553705726000867</v>
      </c>
      <c r="I47" s="222">
        <f t="shared" si="18"/>
        <v>0.11533357461696224</v>
      </c>
      <c r="J47" s="222">
        <f t="shared" si="18"/>
        <v>0.0905817816580391</v>
      </c>
      <c r="K47" s="222">
        <f t="shared" si="18"/>
        <v>-0.08940589710528926</v>
      </c>
      <c r="L47" s="222">
        <f t="shared" si="18"/>
        <v>0.14841209329827126</v>
      </c>
      <c r="M47" s="222">
        <f t="shared" si="18"/>
        <v>0.06504979337443263</v>
      </c>
      <c r="N47" s="222">
        <f t="shared" si="18"/>
        <v>-0.0330890771696817</v>
      </c>
      <c r="O47" s="222">
        <f t="shared" si="18"/>
        <v>0.06175909479639497</v>
      </c>
      <c r="P47" s="222">
        <f t="shared" si="18"/>
        <v>0.03281329384502906</v>
      </c>
      <c r="Q47" s="222">
        <f t="shared" si="18"/>
        <v>0.044932631048508045</v>
      </c>
      <c r="R47" s="222">
        <f t="shared" si="18"/>
        <v>0.0820052358425573</v>
      </c>
      <c r="S47" s="222">
        <f t="shared" si="18"/>
        <v>0.19866502536239575</v>
      </c>
      <c r="T47" s="222">
        <f t="shared" si="18"/>
        <v>-0.05111770173963082</v>
      </c>
      <c r="U47" s="222">
        <f t="shared" si="18"/>
        <v>0.09344006866888721</v>
      </c>
      <c r="V47" s="222">
        <f t="shared" si="18"/>
        <v>0.007696508413256425</v>
      </c>
      <c r="W47" s="222">
        <f t="shared" si="18"/>
        <v>0.0814154346390286</v>
      </c>
      <c r="X47" s="222">
        <f>(X44-W44)/W44</f>
        <v>0.027976791712668248</v>
      </c>
      <c r="Y47" s="222">
        <f aca="true" t="shared" si="19" ref="Y47:AQ47">(Y44-X44)/X44</f>
        <v>0.039343583693234756</v>
      </c>
      <c r="Z47" s="222">
        <f t="shared" si="19"/>
        <v>0.041231537438781066</v>
      </c>
      <c r="AA47" s="222">
        <f t="shared" si="19"/>
        <v>0.044006033489181494</v>
      </c>
      <c r="AB47" s="222">
        <f t="shared" si="19"/>
        <v>0.043028720216601854</v>
      </c>
      <c r="AC47" s="222">
        <f t="shared" si="19"/>
        <v>0.04089024392949235</v>
      </c>
      <c r="AD47" s="222">
        <f t="shared" si="19"/>
        <v>0.039023794890742154</v>
      </c>
      <c r="AE47" s="222">
        <f t="shared" si="19"/>
        <v>0.040042532805715236</v>
      </c>
      <c r="AF47" s="222">
        <f t="shared" si="19"/>
        <v>0.03669563483012481</v>
      </c>
      <c r="AG47" s="222">
        <f t="shared" si="19"/>
        <v>0.03754570238658782</v>
      </c>
      <c r="AH47" s="222">
        <f t="shared" si="19"/>
        <v>0.04597980936270709</v>
      </c>
      <c r="AI47" s="222">
        <f t="shared" si="19"/>
        <v>0.038368785680928906</v>
      </c>
      <c r="AJ47" s="222">
        <f t="shared" si="19"/>
        <v>0.03548698572958643</v>
      </c>
      <c r="AK47" s="222">
        <f t="shared" si="19"/>
        <v>0.036416015460801164</v>
      </c>
      <c r="AL47" s="222">
        <f t="shared" si="19"/>
        <v>0.042562365565549425</v>
      </c>
      <c r="AM47" s="222">
        <f t="shared" si="19"/>
        <v>0.03794859348204171</v>
      </c>
      <c r="AN47" s="222">
        <f t="shared" si="19"/>
        <v>0.03765495705239265</v>
      </c>
      <c r="AO47" s="222">
        <f t="shared" si="19"/>
        <v>0.03789544026796071</v>
      </c>
      <c r="AP47" s="222">
        <f t="shared" si="19"/>
        <v>0.03846960864104237</v>
      </c>
      <c r="AQ47" s="222">
        <f t="shared" si="19"/>
        <v>0.04017522403216206</v>
      </c>
    </row>
    <row r="48" spans="1:43" ht="12.75">
      <c r="A48" s="2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2.75">
      <c r="A49" s="228" t="s">
        <v>103</v>
      </c>
      <c r="B49" s="219">
        <f>'Operating Statement'!B47</f>
        <v>0</v>
      </c>
      <c r="C49" s="219">
        <f>'Operating Statement'!C47</f>
        <v>0</v>
      </c>
      <c r="D49" s="219">
        <f>'Operating Statement'!D47</f>
        <v>0</v>
      </c>
      <c r="E49" s="219">
        <f>'Operating Statement'!E47</f>
        <v>0</v>
      </c>
      <c r="F49" s="219">
        <f>'Operating Statement'!F47</f>
        <v>0</v>
      </c>
      <c r="G49" s="219">
        <f>'Operating Statement'!G47</f>
        <v>9021</v>
      </c>
      <c r="H49" s="219">
        <f>'Operating Statement'!H47</f>
        <v>21520</v>
      </c>
      <c r="I49" s="219">
        <f>'Operating Statement'!I47</f>
        <v>17292</v>
      </c>
      <c r="J49" s="219">
        <f>'Operating Statement'!J47</f>
        <v>26383</v>
      </c>
      <c r="K49" s="219">
        <f>'Operating Statement'!K47</f>
        <v>39188</v>
      </c>
      <c r="L49" s="219">
        <f>'Operating Statement'!L47</f>
        <v>29864</v>
      </c>
      <c r="M49" s="219">
        <f>'Operating Statement'!M47</f>
        <v>26508</v>
      </c>
      <c r="N49" s="219">
        <f>'Operating Statement'!N47</f>
        <v>27721</v>
      </c>
      <c r="O49" s="219">
        <f>'Operating Statement'!O47</f>
        <v>33489</v>
      </c>
      <c r="P49" s="219">
        <f>'Operating Statement'!P47</f>
        <v>29534</v>
      </c>
      <c r="Q49" s="219">
        <f>'Operating Statement'!Q47</f>
        <v>52459</v>
      </c>
      <c r="R49" s="219">
        <f>'Operating Statement'!R47</f>
        <v>43018</v>
      </c>
      <c r="S49" s="219">
        <f>'Operating Statement'!S47</f>
        <v>55169</v>
      </c>
      <c r="T49" s="219">
        <f>'Operating Statement'!T47</f>
        <v>57925</v>
      </c>
      <c r="U49" s="219">
        <f>'Operating Statement'!U47</f>
        <v>61479</v>
      </c>
      <c r="V49" s="219">
        <f>'Operating Statement'!V47</f>
        <v>70875</v>
      </c>
      <c r="W49" s="219">
        <f>'Operating Statement'!W47</f>
        <v>112860</v>
      </c>
      <c r="X49" s="219">
        <f>'Operating Statement'!X47</f>
        <v>62877</v>
      </c>
      <c r="Y49" s="219">
        <f>'Operating Statement'!Y47</f>
        <v>67104</v>
      </c>
      <c r="Z49" s="219">
        <f>'Operating Statement'!Z47</f>
        <v>70496</v>
      </c>
      <c r="AA49" s="219">
        <f>'Operating Statement'!AA47</f>
        <v>70002</v>
      </c>
      <c r="AB49" s="219">
        <f>'Operating Statement'!AB47</f>
        <v>68575</v>
      </c>
      <c r="AC49" s="219">
        <f>'Operating Statement'!AC47</f>
        <v>66142</v>
      </c>
      <c r="AD49" s="219">
        <f>'Operating Statement'!AD47</f>
        <v>70787</v>
      </c>
      <c r="AE49" s="219">
        <f>'Operating Statement'!AE47</f>
        <v>68412</v>
      </c>
      <c r="AF49" s="219">
        <f>'Operating Statement'!AF47</f>
        <v>76013</v>
      </c>
      <c r="AG49" s="219">
        <f>'Operating Statement'!AG47</f>
        <v>72444</v>
      </c>
      <c r="AH49" s="219">
        <f>'Operating Statement'!AH47</f>
        <v>70389</v>
      </c>
      <c r="AI49" s="219">
        <f>'Operating Statement'!AI47</f>
        <v>71082</v>
      </c>
      <c r="AJ49" s="219">
        <f>'Operating Statement'!AJ47</f>
        <v>71127</v>
      </c>
      <c r="AK49" s="219">
        <f>'Operating Statement'!AK47</f>
        <v>86559</v>
      </c>
      <c r="AL49" s="219">
        <f>'Operating Statement'!AL47</f>
        <v>74598</v>
      </c>
      <c r="AM49" s="219">
        <f>'Operating Statement'!AM47</f>
        <v>77239</v>
      </c>
      <c r="AN49" s="219">
        <f>'Operating Statement'!AN47</f>
        <v>79298</v>
      </c>
      <c r="AO49" s="219">
        <f>'Operating Statement'!AO47</f>
        <v>84648</v>
      </c>
      <c r="AP49" s="219">
        <f>'Operating Statement'!AP47</f>
        <v>87883</v>
      </c>
      <c r="AQ49" s="219">
        <f>'Operating Statement'!AQ47</f>
        <v>155180</v>
      </c>
    </row>
    <row r="50" spans="1:43" s="2" customFormat="1" ht="12.75">
      <c r="A50" s="227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s="2" customFormat="1" ht="12.75">
      <c r="A51" s="227" t="s">
        <v>99</v>
      </c>
      <c r="B51" s="219">
        <f>'Operating Statement'!B60</f>
        <v>8873</v>
      </c>
      <c r="C51" s="219">
        <f>'Operating Statement'!C60</f>
        <v>13570</v>
      </c>
      <c r="D51" s="219">
        <f>'Operating Statement'!D60</f>
        <v>11349</v>
      </c>
      <c r="E51" s="219">
        <f>'Operating Statement'!E60</f>
        <v>15882</v>
      </c>
      <c r="F51" s="219">
        <f>'Operating Statement'!F60</f>
        <v>15334</v>
      </c>
      <c r="G51" s="219">
        <f>'Operating Statement'!G60</f>
        <v>15352</v>
      </c>
      <c r="H51" s="219">
        <f>'Operating Statement'!H60</f>
        <v>14750</v>
      </c>
      <c r="I51" s="219">
        <f>'Operating Statement'!I60</f>
        <v>20880</v>
      </c>
      <c r="J51" s="219">
        <f>'Operating Statement'!J60</f>
        <v>19714</v>
      </c>
      <c r="K51" s="219">
        <f>'Operating Statement'!K60</f>
        <v>25010</v>
      </c>
      <c r="L51" s="219">
        <f>'Operating Statement'!L60</f>
        <v>24085</v>
      </c>
      <c r="M51" s="219">
        <f>'Operating Statement'!M60</f>
        <v>24102</v>
      </c>
      <c r="N51" s="219">
        <f>'Operating Statement'!N60</f>
        <v>31100</v>
      </c>
      <c r="O51" s="219">
        <f>'Operating Statement'!O60</f>
        <v>36781</v>
      </c>
      <c r="P51" s="219">
        <f>'Operating Statement'!P60</f>
        <v>46935</v>
      </c>
      <c r="Q51" s="219">
        <f>'Operating Statement'!Q60</f>
        <v>40745</v>
      </c>
      <c r="R51" s="219">
        <f>'Operating Statement'!R60</f>
        <v>43964</v>
      </c>
      <c r="S51" s="219">
        <f>'Operating Statement'!S60</f>
        <v>44286</v>
      </c>
      <c r="T51" s="219">
        <f>'Operating Statement'!T60</f>
        <v>29748</v>
      </c>
      <c r="U51" s="219">
        <f>'Operating Statement'!U60</f>
        <v>51949</v>
      </c>
      <c r="V51" s="219">
        <f>'Operating Statement'!V60</f>
        <v>50126</v>
      </c>
      <c r="W51" s="219">
        <f>'Operating Statement'!W60</f>
        <v>27445</v>
      </c>
      <c r="X51" s="219">
        <f>'Operating Statement'!X60</f>
        <v>23042.815</v>
      </c>
      <c r="Y51" s="219">
        <f>'Operating Statement'!Y60</f>
        <v>20684.042683238466</v>
      </c>
      <c r="Z51" s="219">
        <f>'Operating Statement'!Z60</f>
        <v>21107.588989446336</v>
      </c>
      <c r="AA51" s="219">
        <f>'Operating Statement'!AA60</f>
        <v>21855.180320947922</v>
      </c>
      <c r="AB51" s="219">
        <f>'Operating Statement'!AB60</f>
        <v>22478.1953063275</v>
      </c>
      <c r="AC51" s="219">
        <f>'Operating Statement'!AC60</f>
        <v>25327.57393890466</v>
      </c>
      <c r="AD51" s="219">
        <f>'Operating Statement'!AD60</f>
        <v>25235.720309133805</v>
      </c>
      <c r="AE51" s="219">
        <f>'Operating Statement'!AE60</f>
        <v>25342.686757762414</v>
      </c>
      <c r="AF51" s="219">
        <f>'Operating Statement'!AF60</f>
        <v>26249.15644425707</v>
      </c>
      <c r="AG51" s="219">
        <f>'Operating Statement'!AG60</f>
        <v>26578.400641723794</v>
      </c>
      <c r="AH51" s="219">
        <f>'Operating Statement'!AH60</f>
        <v>29290.780375285598</v>
      </c>
      <c r="AI51" s="219">
        <f>'Operating Statement'!AI60</f>
        <v>29134.036131055265</v>
      </c>
      <c r="AJ51" s="219">
        <f>'Operating Statement'!AJ60</f>
        <v>28842.4158915046</v>
      </c>
      <c r="AK51" s="219">
        <f>'Operating Statement'!AK60</f>
        <v>30228.201992668222</v>
      </c>
      <c r="AL51" s="219">
        <f>'Operating Statement'!AL60</f>
        <v>31346.894185368546</v>
      </c>
      <c r="AM51" s="219">
        <f>'Operating Statement'!AM60</f>
        <v>32620.622956841846</v>
      </c>
      <c r="AN51" s="219">
        <f>'Operating Statement'!AN60</f>
        <v>35980.01149020823</v>
      </c>
      <c r="AO51" s="219">
        <f>'Operating Statement'!AO60</f>
        <v>39745.01506402415</v>
      </c>
      <c r="AP51" s="219">
        <f>'Operating Statement'!AP60</f>
        <v>49786.39237048339</v>
      </c>
      <c r="AQ51" s="219">
        <f>'Operating Statement'!AQ60</f>
        <v>67795.84592608019</v>
      </c>
    </row>
    <row r="52" spans="1:43" s="2" customFormat="1" ht="12.75">
      <c r="A52" s="228" t="s">
        <v>32</v>
      </c>
      <c r="B52" s="219">
        <f>'Operating Statement'!B58</f>
        <v>-731</v>
      </c>
      <c r="C52" s="219">
        <f>'Operating Statement'!C58</f>
        <v>4697</v>
      </c>
      <c r="D52" s="219">
        <f>'Operating Statement'!D58</f>
        <v>-2221</v>
      </c>
      <c r="E52" s="219">
        <f>'Operating Statement'!E58</f>
        <v>4533</v>
      </c>
      <c r="F52" s="219">
        <f>'Operating Statement'!F58</f>
        <v>-548</v>
      </c>
      <c r="G52" s="219">
        <f>'Operating Statement'!G58</f>
        <v>18</v>
      </c>
      <c r="H52" s="219">
        <f>'Operating Statement'!H58</f>
        <v>-602</v>
      </c>
      <c r="I52" s="219">
        <f>'Operating Statement'!I58</f>
        <v>6130</v>
      </c>
      <c r="J52" s="219">
        <f>'Operating Statement'!J58</f>
        <v>-1166</v>
      </c>
      <c r="K52" s="219">
        <f>'Operating Statement'!K58</f>
        <v>5296</v>
      </c>
      <c r="L52" s="219">
        <f>'Operating Statement'!L58</f>
        <v>-925</v>
      </c>
      <c r="M52" s="219">
        <f>'Operating Statement'!M58</f>
        <v>17</v>
      </c>
      <c r="N52" s="219">
        <f>'Operating Statement'!N58</f>
        <v>6998</v>
      </c>
      <c r="O52" s="219">
        <f>'Operating Statement'!O58</f>
        <v>5681</v>
      </c>
      <c r="P52" s="219">
        <f>'Operating Statement'!P58</f>
        <v>10154</v>
      </c>
      <c r="Q52" s="219">
        <f>'Operating Statement'!Q58</f>
        <v>-6190</v>
      </c>
      <c r="R52" s="219">
        <f>'Operating Statement'!R58</f>
        <v>3219</v>
      </c>
      <c r="S52" s="219">
        <f>'Operating Statement'!S58</f>
        <v>322</v>
      </c>
      <c r="T52" s="219">
        <f>'Operating Statement'!T58</f>
        <v>-14538</v>
      </c>
      <c r="U52" s="219">
        <f>'Operating Statement'!U58</f>
        <v>22201</v>
      </c>
      <c r="V52" s="219">
        <f>'Operating Statement'!V58</f>
        <v>-1823</v>
      </c>
      <c r="W52" s="219">
        <f>'Operating Statement'!W58</f>
        <v>-22681</v>
      </c>
      <c r="X52" s="219">
        <f>'Operating Statement'!X58</f>
        <v>-4402.185</v>
      </c>
      <c r="Y52" s="219">
        <f>'Operating Statement'!Y58</f>
        <v>-2358.772316761534</v>
      </c>
      <c r="Z52" s="219">
        <f>'Operating Statement'!Z58</f>
        <v>423.5463062078717</v>
      </c>
      <c r="AA52" s="219">
        <f>'Operating Statement'!AA58</f>
        <v>747.591331501587</v>
      </c>
      <c r="AB52" s="219">
        <f>'Operating Statement'!AB58</f>
        <v>623.0149853795775</v>
      </c>
      <c r="AC52" s="219">
        <f>'Operating Statement'!AC58</f>
        <v>2849.3786325771607</v>
      </c>
      <c r="AD52" s="219">
        <f>'Operating Statement'!AD58</f>
        <v>-91.85362977085435</v>
      </c>
      <c r="AE52" s="219">
        <f>'Operating Statement'!AE58</f>
        <v>106.96644862860887</v>
      </c>
      <c r="AF52" s="219">
        <f>'Operating Statement'!AF58</f>
        <v>906.4696864946567</v>
      </c>
      <c r="AG52" s="219">
        <f>'Operating Statement'!AG58</f>
        <v>329.244197466724</v>
      </c>
      <c r="AH52" s="219">
        <f>'Operating Statement'!AH58</f>
        <v>2712.379733561805</v>
      </c>
      <c r="AI52" s="219">
        <f>'Operating Statement'!AI58</f>
        <v>-156.74424423033167</v>
      </c>
      <c r="AJ52" s="219">
        <f>'Operating Statement'!AJ58</f>
        <v>-291.6202395506672</v>
      </c>
      <c r="AK52" s="219">
        <f>'Operating Statement'!AK58</f>
        <v>1385.786101163622</v>
      </c>
      <c r="AL52" s="219">
        <f>'Operating Statement'!AL58</f>
        <v>1118.6921927003243</v>
      </c>
      <c r="AM52" s="219">
        <f>'Operating Statement'!AM58</f>
        <v>1273.7287714733004</v>
      </c>
      <c r="AN52" s="219">
        <f>'Operating Statement'!AN58</f>
        <v>3359.3885333663857</v>
      </c>
      <c r="AO52" s="219">
        <f>'Operating Statement'!AO58</f>
        <v>3765.003573815919</v>
      </c>
      <c r="AP52" s="219">
        <f>'Operating Statement'!AP58</f>
        <v>10041.377306459235</v>
      </c>
      <c r="AQ52" s="219">
        <f>'Operating Statement'!AQ58</f>
        <v>18009.453555596803</v>
      </c>
    </row>
    <row r="53" spans="1:43" ht="12.75">
      <c r="A53" s="228" t="s">
        <v>184</v>
      </c>
      <c r="B53" s="219">
        <f>('Operating Statement'!D37+'Operating Statement'!D47-'Operating Statement'!D31-'Operating Statement'!D19)/52*$E$1</f>
        <v>0</v>
      </c>
      <c r="C53" s="219">
        <f>('Operating Statement'!E37+'Operating Statement'!E47-'Operating Statement'!E31-'Operating Statement'!E19)/52*$E$1</f>
        <v>0</v>
      </c>
      <c r="D53" s="219">
        <f>('Operating Statement'!F37+'Operating Statement'!F47-'Operating Statement'!F31-'Operating Statement'!F19)/52*$E$1</f>
        <v>0</v>
      </c>
      <c r="E53" s="219">
        <f>('Operating Statement'!G37+'Operating Statement'!G47-'Operating Statement'!G31-'Operating Statement'!G19)/52*$E$1</f>
        <v>0</v>
      </c>
      <c r="F53" s="219">
        <f>('Operating Statement'!H37+'Operating Statement'!H47-'Operating Statement'!H31-'Operating Statement'!H19)/52*$E$1</f>
        <v>0</v>
      </c>
      <c r="G53" s="219">
        <f>('Operating Statement'!I37+'Operating Statement'!I47-'Operating Statement'!I31-'Operating Statement'!I19)/52*$E$1</f>
        <v>0</v>
      </c>
      <c r="H53" s="219">
        <f>('Operating Statement'!J37+'Operating Statement'!J47-'Operating Statement'!J31-'Operating Statement'!J19)/52*$E$1</f>
        <v>0</v>
      </c>
      <c r="I53" s="219">
        <f>('Operating Statement'!K37+'Operating Statement'!K47-'Operating Statement'!K31-'Operating Statement'!K19)/52*$E$1</f>
        <v>0</v>
      </c>
      <c r="J53" s="219">
        <f>('Operating Statement'!L37+'Operating Statement'!L47-'Operating Statement'!L31-'Operating Statement'!L19)/52*$E$1</f>
        <v>0</v>
      </c>
      <c r="K53" s="219">
        <f>('Operating Statement'!M37+'Operating Statement'!M47-'Operating Statement'!M31-'Operating Statement'!M19)/52*$E$1</f>
        <v>0</v>
      </c>
      <c r="L53" s="219">
        <f>('Operating Statement'!N37+'Operating Statement'!N47-'Operating Statement'!N31-'Operating Statement'!N19)/52*$E$1</f>
        <v>0</v>
      </c>
      <c r="M53" s="219">
        <f>('Operating Statement'!O37+'Operating Statement'!O47-'Operating Statement'!O31-'Operating Statement'!O19)/52*$E$1</f>
        <v>0</v>
      </c>
      <c r="N53" s="219">
        <f>('Operating Statement'!P37+'Operating Statement'!P47-'Operating Statement'!P31-'Operating Statement'!P19)/52*$E$1</f>
        <v>0</v>
      </c>
      <c r="O53" s="219">
        <f>('Operating Statement'!Q37+'Operating Statement'!Q47-'Operating Statement'!Q31-'Operating Statement'!Q19)/52*$E$1</f>
        <v>0</v>
      </c>
      <c r="P53" s="219">
        <f>('Operating Statement'!R37+'Operating Statement'!R47-'Operating Statement'!R31-'Operating Statement'!R19)/52*$E$1</f>
        <v>0</v>
      </c>
      <c r="Q53" s="219">
        <f>('Operating Statement'!S37+'Operating Statement'!S47-'Operating Statement'!S31-'Operating Statement'!S19)/52*$E$1</f>
        <v>0</v>
      </c>
      <c r="R53" s="219">
        <f>('Operating Statement'!T37+'Operating Statement'!T47-'Operating Statement'!T31-'Operating Statement'!T19)/52*$E$1</f>
        <v>0</v>
      </c>
      <c r="S53" s="219">
        <f>('Operating Statement'!U37+'Operating Statement'!U47-'Operating Statement'!U31-'Operating Statement'!U19)/52*$E$1</f>
        <v>0</v>
      </c>
      <c r="T53" s="219">
        <f>('Operating Statement'!V37+'Operating Statement'!V47-'Operating Statement'!V31-'Operating Statement'!V19)/52*$E$1</f>
        <v>0</v>
      </c>
      <c r="U53" s="219">
        <f>('Operating Statement'!W37+'Operating Statement'!W47-'Operating Statement'!W31-'Operating Statement'!W19)/52*$E$1</f>
        <v>0</v>
      </c>
      <c r="V53" s="219">
        <f>('Operating Statement'!X37+'Operating Statement'!X47-'Operating Statement'!X31-'Operating Statement'!X19)/52*$E$1</f>
        <v>0</v>
      </c>
      <c r="W53" s="219">
        <f>('Operating Statement'!Y37+'Operating Statement'!Y47-'Operating Statement'!Y31-'Operating Statement'!Y19)/52*$E$1</f>
        <v>0</v>
      </c>
      <c r="X53" s="219">
        <f>('Operating Statement'!Z37+'Operating Statement'!Z47-'Operating Statement'!Z31-'Operating Statement'!Z19)/52*$E$1</f>
        <v>0</v>
      </c>
      <c r="Y53" s="219">
        <f>('Operating Statement'!AA37+'Operating Statement'!AA47-'Operating Statement'!AA31-'Operating Statement'!AA19)/52*$E$1</f>
        <v>0</v>
      </c>
      <c r="Z53" s="219">
        <f>('Operating Statement'!AB37+'Operating Statement'!AB47-'Operating Statement'!AB31-'Operating Statement'!AB19)/52*$E$1</f>
        <v>0</v>
      </c>
      <c r="AA53" s="219">
        <f>('Operating Statement'!AC37+'Operating Statement'!AC47-'Operating Statement'!AC31-'Operating Statement'!AC19)/52*$E$1</f>
        <v>0</v>
      </c>
      <c r="AB53" s="219">
        <f>('Operating Statement'!AD37+'Operating Statement'!AD47-'Operating Statement'!AD31-'Operating Statement'!AD19)/52*$E$1</f>
        <v>0</v>
      </c>
      <c r="AC53" s="219">
        <f>('Operating Statement'!AE37+'Operating Statement'!AE47-'Operating Statement'!AE31-'Operating Statement'!AE19)/52*$E$1</f>
        <v>0</v>
      </c>
      <c r="AD53" s="219">
        <f>('Operating Statement'!AF37+'Operating Statement'!AF47-'Operating Statement'!AF31-'Operating Statement'!AF19)/52*$E$1</f>
        <v>0</v>
      </c>
      <c r="AE53" s="219">
        <f>('Operating Statement'!AG37+'Operating Statement'!AG47-'Operating Statement'!AG31-'Operating Statement'!AG19)/52*$E$1</f>
        <v>0</v>
      </c>
      <c r="AF53" s="219">
        <f>('Operating Statement'!AH37+'Operating Statement'!AH47-'Operating Statement'!AH31-'Operating Statement'!AH19)/52*$E$1</f>
        <v>0</v>
      </c>
      <c r="AG53" s="219">
        <f>('Operating Statement'!AI37+'Operating Statement'!AI47-'Operating Statement'!AI31-'Operating Statement'!AI19)/52*$E$1</f>
        <v>0</v>
      </c>
      <c r="AH53" s="219">
        <f>('Operating Statement'!AJ37+'Operating Statement'!AJ47-'Operating Statement'!AJ31-'Operating Statement'!AJ19)/52*$E$1</f>
        <v>0</v>
      </c>
      <c r="AI53" s="219">
        <f>('Operating Statement'!AK37+'Operating Statement'!AK47-'Operating Statement'!AK31-'Operating Statement'!AK19)/52*$E$1</f>
        <v>0</v>
      </c>
      <c r="AJ53" s="219">
        <f>('Operating Statement'!AL37+'Operating Statement'!AL47-'Operating Statement'!AL31-'Operating Statement'!AL19)/52*$E$1</f>
        <v>0</v>
      </c>
      <c r="AK53" s="219">
        <f>('Operating Statement'!AM37+'Operating Statement'!AM47-'Operating Statement'!AM31-'Operating Statement'!AM19)/52*$E$1</f>
        <v>0</v>
      </c>
      <c r="AL53" s="219">
        <f>('Operating Statement'!AN37+'Operating Statement'!AN47-'Operating Statement'!AN31-'Operating Statement'!AN19)/52*$E$1</f>
        <v>0</v>
      </c>
      <c r="AM53" s="219">
        <f>('Operating Statement'!AO37+'Operating Statement'!AO47-'Operating Statement'!AO31-'Operating Statement'!AO19)/52*$E$1</f>
        <v>0</v>
      </c>
      <c r="AN53" s="219">
        <f>('Operating Statement'!AP37+'Operating Statement'!AP47-'Operating Statement'!AP31-'Operating Statement'!AP19)/52*$E$1</f>
        <v>0</v>
      </c>
      <c r="AO53" s="219">
        <f>('Operating Statement'!AQ37+'Operating Statement'!AQ47-'Operating Statement'!AQ31-'Operating Statement'!AQ19)/52*$E$1</f>
        <v>0</v>
      </c>
      <c r="AP53" s="219">
        <f>('Operating Statement'!AR37+'Operating Statement'!AR47-'Operating Statement'!AR31-'Operating Statement'!AR19)/52*$E$1</f>
        <v>0</v>
      </c>
      <c r="AQ53" s="219">
        <f>('Operating Statement'!AS37+'Operating Statement'!AS47-'Operating Statement'!AS31-'Operating Statement'!AS19)/52*$E$1</f>
        <v>0</v>
      </c>
    </row>
    <row r="54" spans="1:43" ht="12.75">
      <c r="A54" s="228" t="s">
        <v>163</v>
      </c>
      <c r="B54" s="219">
        <f aca="true" t="shared" si="20" ref="B54:V54">B51-B53</f>
        <v>8873</v>
      </c>
      <c r="C54" s="219">
        <f t="shared" si="20"/>
        <v>13570</v>
      </c>
      <c r="D54" s="219">
        <f t="shared" si="20"/>
        <v>11349</v>
      </c>
      <c r="E54" s="219">
        <f t="shared" si="20"/>
        <v>15882</v>
      </c>
      <c r="F54" s="219">
        <f t="shared" si="20"/>
        <v>15334</v>
      </c>
      <c r="G54" s="219">
        <f t="shared" si="20"/>
        <v>15352</v>
      </c>
      <c r="H54" s="219">
        <f t="shared" si="20"/>
        <v>14750</v>
      </c>
      <c r="I54" s="219">
        <f t="shared" si="20"/>
        <v>20880</v>
      </c>
      <c r="J54" s="219">
        <f t="shared" si="20"/>
        <v>19714</v>
      </c>
      <c r="K54" s="219">
        <f t="shared" si="20"/>
        <v>25010</v>
      </c>
      <c r="L54" s="219">
        <f t="shared" si="20"/>
        <v>24085</v>
      </c>
      <c r="M54" s="219">
        <f t="shared" si="20"/>
        <v>24102</v>
      </c>
      <c r="N54" s="219">
        <f t="shared" si="20"/>
        <v>31100</v>
      </c>
      <c r="O54" s="219">
        <f t="shared" si="20"/>
        <v>36781</v>
      </c>
      <c r="P54" s="219">
        <f t="shared" si="20"/>
        <v>46935</v>
      </c>
      <c r="Q54" s="219">
        <f t="shared" si="20"/>
        <v>40745</v>
      </c>
      <c r="R54" s="219">
        <f t="shared" si="20"/>
        <v>43964</v>
      </c>
      <c r="S54" s="219">
        <f t="shared" si="20"/>
        <v>44286</v>
      </c>
      <c r="T54" s="219">
        <f t="shared" si="20"/>
        <v>29748</v>
      </c>
      <c r="U54" s="219">
        <f t="shared" si="20"/>
        <v>51949</v>
      </c>
      <c r="V54" s="219">
        <f t="shared" si="20"/>
        <v>50126</v>
      </c>
      <c r="W54" s="219">
        <f aca="true" t="shared" si="21" ref="W54:AQ54">W51-W53</f>
        <v>27445</v>
      </c>
      <c r="X54" s="219">
        <f t="shared" si="21"/>
        <v>23042.815</v>
      </c>
      <c r="Y54" s="219">
        <f t="shared" si="21"/>
        <v>20684.042683238466</v>
      </c>
      <c r="Z54" s="219">
        <f t="shared" si="21"/>
        <v>21107.588989446336</v>
      </c>
      <c r="AA54" s="219">
        <f t="shared" si="21"/>
        <v>21855.180320947922</v>
      </c>
      <c r="AB54" s="219">
        <f t="shared" si="21"/>
        <v>22478.1953063275</v>
      </c>
      <c r="AC54" s="219">
        <f t="shared" si="21"/>
        <v>25327.57393890466</v>
      </c>
      <c r="AD54" s="219">
        <f t="shared" si="21"/>
        <v>25235.720309133805</v>
      </c>
      <c r="AE54" s="219">
        <f t="shared" si="21"/>
        <v>25342.686757762414</v>
      </c>
      <c r="AF54" s="219">
        <f t="shared" si="21"/>
        <v>26249.15644425707</v>
      </c>
      <c r="AG54" s="219">
        <f t="shared" si="21"/>
        <v>26578.400641723794</v>
      </c>
      <c r="AH54" s="219">
        <f t="shared" si="21"/>
        <v>29290.780375285598</v>
      </c>
      <c r="AI54" s="219">
        <f t="shared" si="21"/>
        <v>29134.036131055265</v>
      </c>
      <c r="AJ54" s="219">
        <f t="shared" si="21"/>
        <v>28842.4158915046</v>
      </c>
      <c r="AK54" s="219">
        <f t="shared" si="21"/>
        <v>30228.201992668222</v>
      </c>
      <c r="AL54" s="219">
        <f t="shared" si="21"/>
        <v>31346.894185368546</v>
      </c>
      <c r="AM54" s="219">
        <f t="shared" si="21"/>
        <v>32620.622956841846</v>
      </c>
      <c r="AN54" s="219">
        <f t="shared" si="21"/>
        <v>35980.01149020823</v>
      </c>
      <c r="AO54" s="219">
        <f t="shared" si="21"/>
        <v>39745.01506402415</v>
      </c>
      <c r="AP54" s="219">
        <f t="shared" si="21"/>
        <v>49786.39237048339</v>
      </c>
      <c r="AQ54" s="219">
        <f t="shared" si="21"/>
        <v>67795.84592608019</v>
      </c>
    </row>
    <row r="55" spans="1:43" ht="12.75">
      <c r="A55" s="22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21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ht="12.75">
      <c r="A56" s="228" t="s">
        <v>94</v>
      </c>
      <c r="B56" s="219">
        <f>'Balance Sheet'!B11</f>
        <v>19573</v>
      </c>
      <c r="C56" s="219">
        <f>'Balance Sheet'!C11</f>
        <v>22783</v>
      </c>
      <c r="D56" s="219">
        <f>'Balance Sheet'!D11</f>
        <v>15278</v>
      </c>
      <c r="E56" s="219">
        <f>'Balance Sheet'!E11</f>
        <v>18886</v>
      </c>
      <c r="F56" s="219">
        <f>'Balance Sheet'!F11</f>
        <v>20712</v>
      </c>
      <c r="G56" s="219">
        <f>'Balance Sheet'!G11</f>
        <v>20297</v>
      </c>
      <c r="H56" s="219">
        <f>'Balance Sheet'!H11</f>
        <v>21720</v>
      </c>
      <c r="I56" s="219">
        <f>'Balance Sheet'!I11</f>
        <v>26858</v>
      </c>
      <c r="J56" s="219">
        <f>'Balance Sheet'!J11</f>
        <v>25559</v>
      </c>
      <c r="K56" s="219">
        <f>'Balance Sheet'!K11</f>
        <v>29454</v>
      </c>
      <c r="L56" s="219">
        <f>'Balance Sheet'!L11</f>
        <v>29191</v>
      </c>
      <c r="M56" s="219">
        <f>'Balance Sheet'!M11</f>
        <v>30435</v>
      </c>
      <c r="N56" s="219">
        <f>'Balance Sheet'!N11</f>
        <v>35064</v>
      </c>
      <c r="O56" s="219">
        <f>'Balance Sheet'!O11</f>
        <v>43169</v>
      </c>
      <c r="P56" s="219">
        <f>'Balance Sheet'!P11</f>
        <v>54516</v>
      </c>
      <c r="Q56" s="219">
        <f>'Balance Sheet'!Q11</f>
        <v>48821</v>
      </c>
      <c r="R56" s="219">
        <f>'Balance Sheet'!R11</f>
        <v>54093</v>
      </c>
      <c r="S56" s="219">
        <f>'Balance Sheet'!S11</f>
        <v>51755</v>
      </c>
      <c r="T56" s="219">
        <f>'Balance Sheet'!T11</f>
        <v>41298</v>
      </c>
      <c r="U56" s="219">
        <f>'Balance Sheet'!U11</f>
        <v>61214</v>
      </c>
      <c r="V56" s="219">
        <f>'Balance Sheet'!V11</f>
        <v>59479</v>
      </c>
      <c r="W56" s="219">
        <f>'Balance Sheet'!W11</f>
        <v>37816</v>
      </c>
      <c r="X56" s="219">
        <f>'Balance Sheet'!X11</f>
        <v>33937</v>
      </c>
      <c r="Y56" s="219">
        <f>'Balance Sheet'!Y11</f>
        <v>32128.095118238467</v>
      </c>
      <c r="Z56" s="219">
        <f>'Balance Sheet'!Z11</f>
        <v>33129.552098631335</v>
      </c>
      <c r="AA56" s="219">
        <f>'Balance Sheet'!AA11</f>
        <v>34484.52754870136</v>
      </c>
      <c r="AB56" s="219">
        <f>'Balance Sheet'!AB11</f>
        <v>35745.90324269635</v>
      </c>
      <c r="AC56" s="219">
        <f>'Balance Sheet'!AC11</f>
        <v>39266.19898002833</v>
      </c>
      <c r="AD56" s="219">
        <f>'Balance Sheet'!AD11</f>
        <v>39879.47922735478</v>
      </c>
      <c r="AE56" s="219">
        <f>'Balance Sheet'!AE11</f>
        <v>40727.54138081266</v>
      </c>
      <c r="AF56" s="219">
        <f>'Balance Sheet'!AF11</f>
        <v>42412.90265308288</v>
      </c>
      <c r="AG56" s="219">
        <f>'Balance Sheet'!AG11</f>
        <v>43560.76190719972</v>
      </c>
      <c r="AH56" s="219">
        <f>'Balance Sheet'!AH11</f>
        <v>47133.5060653008</v>
      </c>
      <c r="AI56" s="219">
        <f>'Balance Sheet'!AI11</f>
        <v>47881.004831261234</v>
      </c>
      <c r="AJ56" s="219">
        <f>'Balance Sheet'!AJ11</f>
        <v>48539.74399542107</v>
      </c>
      <c r="AK56" s="219">
        <f>'Balance Sheet'!AK11</f>
        <v>50924.35782988444</v>
      </c>
      <c r="AL56" s="219">
        <f>'Balance Sheet'!AL11</f>
        <v>53092.817970282784</v>
      </c>
      <c r="AM56" s="219">
        <f>'Balance Sheet'!AM11</f>
        <v>55469.85285478671</v>
      </c>
      <c r="AN56" s="219">
        <f>'Balance Sheet'!AN11</f>
        <v>59988.816112948276</v>
      </c>
      <c r="AO56" s="219">
        <f>'Balance Sheet'!AO11</f>
        <v>64972.532722523945</v>
      </c>
      <c r="AP56" s="219">
        <f>'Balance Sheet'!AP11</f>
        <v>76294.77742956666</v>
      </c>
      <c r="AQ56" s="219">
        <f>'Balance Sheet'!AQ11</f>
        <v>95651.42262317671</v>
      </c>
    </row>
    <row r="57" spans="1:43" ht="12.75">
      <c r="A57" s="228" t="s">
        <v>95</v>
      </c>
      <c r="B57" s="219">
        <f>'Balance Sheet'!B19</f>
        <v>10258</v>
      </c>
      <c r="C57" s="219">
        <f>'Balance Sheet'!C19</f>
        <v>10150</v>
      </c>
      <c r="D57" s="219">
        <f>'Balance Sheet'!D19</f>
        <v>12240</v>
      </c>
      <c r="E57" s="219">
        <f>'Balance Sheet'!E19</f>
        <v>15714</v>
      </c>
      <c r="F57" s="219">
        <f>'Balance Sheet'!F19</f>
        <v>10562</v>
      </c>
      <c r="G57" s="219">
        <f>'Balance Sheet'!G19</f>
        <v>11808</v>
      </c>
      <c r="H57" s="219">
        <f>'Balance Sheet'!H19</f>
        <v>14617</v>
      </c>
      <c r="I57" s="219">
        <f>'Balance Sheet'!I19</f>
        <v>15960</v>
      </c>
      <c r="J57" s="219">
        <f>'Balance Sheet'!J19</f>
        <v>18835</v>
      </c>
      <c r="K57" s="219">
        <f>'Balance Sheet'!K19</f>
        <v>16330</v>
      </c>
      <c r="L57" s="219">
        <f>'Balance Sheet'!L19</f>
        <v>17807</v>
      </c>
      <c r="M57" s="219">
        <f>'Balance Sheet'!M19</f>
        <v>18708</v>
      </c>
      <c r="N57" s="219">
        <f>'Balance Sheet'!N19</f>
        <v>17052</v>
      </c>
      <c r="O57" s="219">
        <f>'Balance Sheet'!O19</f>
        <v>21140</v>
      </c>
      <c r="P57" s="219">
        <f>'Balance Sheet'!P19</f>
        <v>21550</v>
      </c>
      <c r="Q57" s="219">
        <f>'Balance Sheet'!Q19</f>
        <v>19596</v>
      </c>
      <c r="R57" s="219">
        <f>'Balance Sheet'!R19</f>
        <v>22961</v>
      </c>
      <c r="S57" s="219">
        <f>'Balance Sheet'!S19</f>
        <v>33613</v>
      </c>
      <c r="T57" s="219">
        <f>'Balance Sheet'!T19</f>
        <v>21774</v>
      </c>
      <c r="U57" s="219">
        <f>'Balance Sheet'!U19</f>
        <v>26308</v>
      </c>
      <c r="V57" s="219">
        <f>'Balance Sheet'!V19</f>
        <v>29580</v>
      </c>
      <c r="W57" s="219">
        <f>'Balance Sheet'!W19</f>
        <v>29843</v>
      </c>
      <c r="X57" s="219">
        <f>'Balance Sheet'!X19</f>
        <v>25519.025153011535</v>
      </c>
      <c r="Y57" s="219">
        <f>'Balance Sheet'!Y19</f>
        <v>25863.823596319216</v>
      </c>
      <c r="Z57" s="219">
        <f>'Balance Sheet'!Z19</f>
        <v>26900.6348104548</v>
      </c>
      <c r="AA57" s="219">
        <f>'Balance Sheet'!AA19</f>
        <v>28401.90946786313</v>
      </c>
      <c r="AB57" s="219">
        <f>'Balance Sheet'!AB19</f>
        <v>29777.343211145162</v>
      </c>
      <c r="AC57" s="219">
        <f>'Balance Sheet'!AC19</f>
        <v>31106.797667928047</v>
      </c>
      <c r="AD57" s="219">
        <f>'Balance Sheet'!AD19</f>
        <v>30802.528112840682</v>
      </c>
      <c r="AE57" s="219">
        <f>'Balance Sheet'!AE19</f>
        <v>29772.113181983663</v>
      </c>
      <c r="AF57" s="219">
        <f>'Balance Sheet'!AF19</f>
        <v>53816.403530802774</v>
      </c>
      <c r="AG57" s="219">
        <f>'Balance Sheet'!AG19</f>
        <v>33052.217690774676</v>
      </c>
      <c r="AH57" s="219">
        <f>'Balance Sheet'!AH19</f>
        <v>32628.890838660627</v>
      </c>
      <c r="AI57" s="219">
        <f>'Balance Sheet'!AI19</f>
        <v>31381.458233181533</v>
      </c>
      <c r="AJ57" s="219">
        <f>'Balance Sheet'!AJ19</f>
        <v>30469.093905983074</v>
      </c>
      <c r="AK57" s="219">
        <f>'Balance Sheet'!AK19</f>
        <v>31153.608196342193</v>
      </c>
      <c r="AL57" s="219">
        <f>'Balance Sheet'!AL19</f>
        <v>30503.65222165463</v>
      </c>
      <c r="AM57" s="219">
        <f>'Balance Sheet'!AM19</f>
        <v>30843.401579271274</v>
      </c>
      <c r="AN57" s="219">
        <f>'Balance Sheet'!AN19</f>
        <v>29823.60725834102</v>
      </c>
      <c r="AO57" s="219">
        <f>'Balance Sheet'!AO19</f>
        <v>25234.277530433865</v>
      </c>
      <c r="AP57" s="219">
        <f>'Balance Sheet'!AP19</f>
        <v>24065.05867381455</v>
      </c>
      <c r="AQ57" s="219">
        <f>'Balance Sheet'!AQ19</f>
        <v>24065.05867381455</v>
      </c>
    </row>
    <row r="58" spans="1:43" ht="12.75">
      <c r="A58" s="228" t="s">
        <v>97</v>
      </c>
      <c r="B58" s="222">
        <f aca="true" t="shared" si="22" ref="B58:U58">B56/B57</f>
        <v>1.9080717488789238</v>
      </c>
      <c r="C58" s="222">
        <f t="shared" si="22"/>
        <v>2.244630541871921</v>
      </c>
      <c r="D58" s="222">
        <f t="shared" si="22"/>
        <v>1.248202614379085</v>
      </c>
      <c r="E58" s="222">
        <f t="shared" si="22"/>
        <v>1.2018582156039201</v>
      </c>
      <c r="F58" s="222">
        <f t="shared" si="22"/>
        <v>1.960992236318879</v>
      </c>
      <c r="G58" s="222">
        <f t="shared" si="22"/>
        <v>1.718919376693767</v>
      </c>
      <c r="H58" s="222">
        <f t="shared" si="22"/>
        <v>1.4859410275706368</v>
      </c>
      <c r="I58" s="222">
        <f t="shared" si="22"/>
        <v>1.6828320802005012</v>
      </c>
      <c r="J58" s="222">
        <f t="shared" si="22"/>
        <v>1.3569949561985666</v>
      </c>
      <c r="K58" s="222">
        <f t="shared" si="22"/>
        <v>1.8036742192284139</v>
      </c>
      <c r="L58" s="222">
        <f t="shared" si="22"/>
        <v>1.6392991520188689</v>
      </c>
      <c r="M58" s="222">
        <f t="shared" si="22"/>
        <v>1.626844130853111</v>
      </c>
      <c r="N58" s="222">
        <f t="shared" si="22"/>
        <v>2.0562983814215343</v>
      </c>
      <c r="O58" s="222">
        <f t="shared" si="22"/>
        <v>2.0420529801324503</v>
      </c>
      <c r="P58" s="222">
        <f t="shared" si="22"/>
        <v>2.5297447795823667</v>
      </c>
      <c r="Q58" s="222">
        <f t="shared" si="22"/>
        <v>2.4913757909777505</v>
      </c>
      <c r="R58" s="222">
        <f t="shared" si="22"/>
        <v>2.355864291624929</v>
      </c>
      <c r="S58" s="222">
        <f t="shared" si="22"/>
        <v>1.5397316514443817</v>
      </c>
      <c r="T58" s="222">
        <f t="shared" si="22"/>
        <v>1.8966657481399836</v>
      </c>
      <c r="U58" s="222">
        <f t="shared" si="22"/>
        <v>2.326820738938726</v>
      </c>
      <c r="V58" s="222">
        <f>V56/V57</f>
        <v>2.01078431372549</v>
      </c>
      <c r="W58" s="222">
        <f>W56/W57</f>
        <v>1.2671648292731963</v>
      </c>
      <c r="X58" s="222">
        <f>X56/X57</f>
        <v>1.3298705493848009</v>
      </c>
      <c r="Y58" s="222">
        <f aca="true" t="shared" si="23" ref="Y58:AQ58">Y56/Y57</f>
        <v>1.2422020664729072</v>
      </c>
      <c r="Z58" s="222">
        <f t="shared" si="23"/>
        <v>1.2315527991092499</v>
      </c>
      <c r="AA58" s="222">
        <f t="shared" si="23"/>
        <v>1.2141622938317134</v>
      </c>
      <c r="AB58" s="222">
        <f t="shared" si="23"/>
        <v>1.200439642624573</v>
      </c>
      <c r="AC58" s="222">
        <f t="shared" si="23"/>
        <v>1.2623028380871506</v>
      </c>
      <c r="AD58" s="222">
        <f t="shared" si="23"/>
        <v>1.294682017049444</v>
      </c>
      <c r="AE58" s="222">
        <f t="shared" si="23"/>
        <v>1.3679761705816227</v>
      </c>
      <c r="AF58" s="222">
        <f t="shared" si="23"/>
        <v>0.7881036239964846</v>
      </c>
      <c r="AG58" s="222">
        <f t="shared" si="23"/>
        <v>1.3179376438440353</v>
      </c>
      <c r="AH58" s="222">
        <f t="shared" si="23"/>
        <v>1.4445328925938925</v>
      </c>
      <c r="AI58" s="222">
        <f t="shared" si="23"/>
        <v>1.5257737379658707</v>
      </c>
      <c r="AJ58" s="222">
        <f t="shared" si="23"/>
        <v>1.5930813087254145</v>
      </c>
      <c r="AK58" s="222">
        <f t="shared" si="23"/>
        <v>1.6346215022330404</v>
      </c>
      <c r="AL58" s="222">
        <f t="shared" si="23"/>
        <v>1.7405397092939594</v>
      </c>
      <c r="AM58" s="222">
        <f t="shared" si="23"/>
        <v>1.7984349979110597</v>
      </c>
      <c r="AN58" s="222">
        <f t="shared" si="23"/>
        <v>2.0114540670183585</v>
      </c>
      <c r="AO58" s="222">
        <f t="shared" si="23"/>
        <v>2.574772851894161</v>
      </c>
      <c r="AP58" s="222">
        <f t="shared" si="23"/>
        <v>3.1703549309266315</v>
      </c>
      <c r="AQ58" s="222">
        <f t="shared" si="23"/>
        <v>3.974701409195235</v>
      </c>
    </row>
    <row r="59" spans="1:43" ht="12.75">
      <c r="A59" s="228" t="s">
        <v>101</v>
      </c>
      <c r="B59" s="222">
        <v>1.5</v>
      </c>
      <c r="C59" s="222">
        <v>1.5</v>
      </c>
      <c r="D59" s="222">
        <v>1.5</v>
      </c>
      <c r="E59" s="222">
        <v>1.5</v>
      </c>
      <c r="F59" s="222">
        <v>1.5</v>
      </c>
      <c r="G59" s="222">
        <v>1.5</v>
      </c>
      <c r="H59" s="222">
        <v>1.5</v>
      </c>
      <c r="I59" s="222">
        <v>1.5</v>
      </c>
      <c r="J59" s="222">
        <v>1.5</v>
      </c>
      <c r="K59" s="222">
        <v>1.5</v>
      </c>
      <c r="L59" s="222">
        <v>1.5</v>
      </c>
      <c r="M59" s="222">
        <v>1.5</v>
      </c>
      <c r="N59" s="222">
        <v>1.5</v>
      </c>
      <c r="O59" s="222">
        <v>1.5</v>
      </c>
      <c r="P59" s="222">
        <v>1.5</v>
      </c>
      <c r="Q59" s="222">
        <v>1.5</v>
      </c>
      <c r="R59" s="222">
        <v>1.5</v>
      </c>
      <c r="S59" s="222">
        <v>1.5</v>
      </c>
      <c r="T59" s="222">
        <v>1.5</v>
      </c>
      <c r="U59" s="222">
        <v>1.5</v>
      </c>
      <c r="V59" s="222">
        <v>1.5</v>
      </c>
      <c r="W59" s="222">
        <v>1.5</v>
      </c>
      <c r="X59" s="222">
        <v>1.5</v>
      </c>
      <c r="Y59" s="222">
        <v>1.5</v>
      </c>
      <c r="Z59" s="222">
        <v>1.5</v>
      </c>
      <c r="AA59" s="222">
        <v>1.5</v>
      </c>
      <c r="AB59" s="222">
        <v>1.5</v>
      </c>
      <c r="AC59" s="222">
        <v>1.5</v>
      </c>
      <c r="AD59" s="222">
        <v>1.5</v>
      </c>
      <c r="AE59" s="222">
        <v>1.5</v>
      </c>
      <c r="AF59" s="222">
        <v>1.5</v>
      </c>
      <c r="AG59" s="222">
        <v>1.5</v>
      </c>
      <c r="AH59" s="222">
        <v>1.5</v>
      </c>
      <c r="AI59" s="222">
        <v>1.5</v>
      </c>
      <c r="AJ59" s="222">
        <v>1.5</v>
      </c>
      <c r="AK59" s="222">
        <v>1.5</v>
      </c>
      <c r="AL59" s="222">
        <v>1.5</v>
      </c>
      <c r="AM59" s="222">
        <v>1.5</v>
      </c>
      <c r="AN59" s="222">
        <v>1.5</v>
      </c>
      <c r="AO59" s="222">
        <v>1.5</v>
      </c>
      <c r="AP59" s="222">
        <v>1.5</v>
      </c>
      <c r="AQ59" s="222">
        <v>1.5</v>
      </c>
    </row>
    <row r="60" spans="1:43" ht="12.75">
      <c r="A60" s="228" t="s">
        <v>96</v>
      </c>
      <c r="B60" s="219">
        <f aca="true" t="shared" si="24" ref="B60:V60">B56-B57</f>
        <v>9315</v>
      </c>
      <c r="C60" s="219">
        <f t="shared" si="24"/>
        <v>12633</v>
      </c>
      <c r="D60" s="219">
        <f t="shared" si="24"/>
        <v>3038</v>
      </c>
      <c r="E60" s="219">
        <f t="shared" si="24"/>
        <v>3172</v>
      </c>
      <c r="F60" s="219">
        <f t="shared" si="24"/>
        <v>10150</v>
      </c>
      <c r="G60" s="219">
        <f t="shared" si="24"/>
        <v>8489</v>
      </c>
      <c r="H60" s="219">
        <f t="shared" si="24"/>
        <v>7103</v>
      </c>
      <c r="I60" s="219">
        <f t="shared" si="24"/>
        <v>10898</v>
      </c>
      <c r="J60" s="219">
        <f t="shared" si="24"/>
        <v>6724</v>
      </c>
      <c r="K60" s="219">
        <f t="shared" si="24"/>
        <v>13124</v>
      </c>
      <c r="L60" s="219">
        <f t="shared" si="24"/>
        <v>11384</v>
      </c>
      <c r="M60" s="219">
        <f t="shared" si="24"/>
        <v>11727</v>
      </c>
      <c r="N60" s="219">
        <f t="shared" si="24"/>
        <v>18012</v>
      </c>
      <c r="O60" s="219">
        <f t="shared" si="24"/>
        <v>22029</v>
      </c>
      <c r="P60" s="219">
        <f t="shared" si="24"/>
        <v>32966</v>
      </c>
      <c r="Q60" s="219">
        <f t="shared" si="24"/>
        <v>29225</v>
      </c>
      <c r="R60" s="219">
        <f t="shared" si="24"/>
        <v>31132</v>
      </c>
      <c r="S60" s="219">
        <f t="shared" si="24"/>
        <v>18142</v>
      </c>
      <c r="T60" s="219">
        <f t="shared" si="24"/>
        <v>19524</v>
      </c>
      <c r="U60" s="219">
        <f t="shared" si="24"/>
        <v>34906</v>
      </c>
      <c r="V60" s="219">
        <f t="shared" si="24"/>
        <v>29899</v>
      </c>
      <c r="W60" s="219">
        <f>W56-W57</f>
        <v>7973</v>
      </c>
      <c r="X60" s="219">
        <f>X56-X57</f>
        <v>8417.974846988465</v>
      </c>
      <c r="Y60" s="219">
        <f aca="true" t="shared" si="25" ref="Y60:AQ60">Y56-Y57</f>
        <v>6264.2715219192505</v>
      </c>
      <c r="Z60" s="219">
        <f t="shared" si="25"/>
        <v>6228.9172881765335</v>
      </c>
      <c r="AA60" s="219">
        <f t="shared" si="25"/>
        <v>6082.618080838227</v>
      </c>
      <c r="AB60" s="219">
        <f t="shared" si="25"/>
        <v>5968.560031551191</v>
      </c>
      <c r="AC60" s="219">
        <f t="shared" si="25"/>
        <v>8159.401312100286</v>
      </c>
      <c r="AD60" s="219">
        <f t="shared" si="25"/>
        <v>9076.951114514097</v>
      </c>
      <c r="AE60" s="219">
        <f t="shared" si="25"/>
        <v>10955.428198828999</v>
      </c>
      <c r="AF60" s="219">
        <f t="shared" si="25"/>
        <v>-11403.500877719896</v>
      </c>
      <c r="AG60" s="219">
        <f t="shared" si="25"/>
        <v>10508.544216425042</v>
      </c>
      <c r="AH60" s="219">
        <f t="shared" si="25"/>
        <v>14504.61522664017</v>
      </c>
      <c r="AI60" s="219">
        <f t="shared" si="25"/>
        <v>16499.5465980797</v>
      </c>
      <c r="AJ60" s="219">
        <f t="shared" si="25"/>
        <v>18070.650089437997</v>
      </c>
      <c r="AK60" s="219">
        <f t="shared" si="25"/>
        <v>19770.749633542244</v>
      </c>
      <c r="AL60" s="219">
        <f t="shared" si="25"/>
        <v>22589.165748628155</v>
      </c>
      <c r="AM60" s="219">
        <f t="shared" si="25"/>
        <v>24626.451275515436</v>
      </c>
      <c r="AN60" s="219">
        <f t="shared" si="25"/>
        <v>30165.208854607255</v>
      </c>
      <c r="AO60" s="219">
        <f t="shared" si="25"/>
        <v>39738.25519209008</v>
      </c>
      <c r="AP60" s="219">
        <f t="shared" si="25"/>
        <v>52229.71875575211</v>
      </c>
      <c r="AQ60" s="219">
        <f t="shared" si="25"/>
        <v>71586.36394936216</v>
      </c>
    </row>
    <row r="61" spans="1:43" ht="12.75">
      <c r="A61" s="228" t="s">
        <v>101</v>
      </c>
      <c r="B61" s="230">
        <f aca="true" t="shared" si="26" ref="B61:V61">B57*B59-B57</f>
        <v>5129</v>
      </c>
      <c r="C61" s="230">
        <f t="shared" si="26"/>
        <v>5075</v>
      </c>
      <c r="D61" s="230">
        <f t="shared" si="26"/>
        <v>6120</v>
      </c>
      <c r="E61" s="230">
        <f t="shared" si="26"/>
        <v>7857</v>
      </c>
      <c r="F61" s="230">
        <f t="shared" si="26"/>
        <v>5281</v>
      </c>
      <c r="G61" s="230">
        <f t="shared" si="26"/>
        <v>5904</v>
      </c>
      <c r="H61" s="230">
        <f t="shared" si="26"/>
        <v>7308.5</v>
      </c>
      <c r="I61" s="230">
        <f t="shared" si="26"/>
        <v>7980</v>
      </c>
      <c r="J61" s="230">
        <f t="shared" si="26"/>
        <v>9417.5</v>
      </c>
      <c r="K61" s="230">
        <f t="shared" si="26"/>
        <v>8165</v>
      </c>
      <c r="L61" s="230">
        <f t="shared" si="26"/>
        <v>8903.5</v>
      </c>
      <c r="M61" s="230">
        <f t="shared" si="26"/>
        <v>9354</v>
      </c>
      <c r="N61" s="230">
        <f t="shared" si="26"/>
        <v>8526</v>
      </c>
      <c r="O61" s="230">
        <f t="shared" si="26"/>
        <v>10570</v>
      </c>
      <c r="P61" s="230">
        <f t="shared" si="26"/>
        <v>10775</v>
      </c>
      <c r="Q61" s="230">
        <f t="shared" si="26"/>
        <v>9798</v>
      </c>
      <c r="R61" s="230">
        <f t="shared" si="26"/>
        <v>11480.5</v>
      </c>
      <c r="S61" s="230">
        <f t="shared" si="26"/>
        <v>16806.5</v>
      </c>
      <c r="T61" s="230">
        <f t="shared" si="26"/>
        <v>10887</v>
      </c>
      <c r="U61" s="230">
        <f t="shared" si="26"/>
        <v>13154</v>
      </c>
      <c r="V61" s="230">
        <f t="shared" si="26"/>
        <v>14790</v>
      </c>
      <c r="W61" s="230">
        <f>W57*W59-W57</f>
        <v>14921.5</v>
      </c>
      <c r="X61" s="230">
        <f>X57*X59-X57</f>
        <v>12759.512576505767</v>
      </c>
      <c r="Y61" s="230">
        <f aca="true" t="shared" si="27" ref="Y61:AQ61">Y57*Y59-Y57</f>
        <v>12931.91179815961</v>
      </c>
      <c r="Z61" s="230">
        <f t="shared" si="27"/>
        <v>13450.317405227404</v>
      </c>
      <c r="AA61" s="230">
        <f t="shared" si="27"/>
        <v>14200.954733931569</v>
      </c>
      <c r="AB61" s="230">
        <f t="shared" si="27"/>
        <v>14888.671605572577</v>
      </c>
      <c r="AC61" s="230">
        <f t="shared" si="27"/>
        <v>15553.398833964027</v>
      </c>
      <c r="AD61" s="230">
        <f t="shared" si="27"/>
        <v>15401.264056420343</v>
      </c>
      <c r="AE61" s="230">
        <f t="shared" si="27"/>
        <v>14886.056590991833</v>
      </c>
      <c r="AF61" s="230">
        <f t="shared" si="27"/>
        <v>26908.201765401383</v>
      </c>
      <c r="AG61" s="230">
        <f t="shared" si="27"/>
        <v>16526.108845387338</v>
      </c>
      <c r="AH61" s="230">
        <f t="shared" si="27"/>
        <v>16314.445419330317</v>
      </c>
      <c r="AI61" s="230">
        <f t="shared" si="27"/>
        <v>15690.729116590766</v>
      </c>
      <c r="AJ61" s="230">
        <f t="shared" si="27"/>
        <v>15234.546952991539</v>
      </c>
      <c r="AK61" s="230">
        <f t="shared" si="27"/>
        <v>15576.804098171098</v>
      </c>
      <c r="AL61" s="230">
        <f t="shared" si="27"/>
        <v>15251.826110827315</v>
      </c>
      <c r="AM61" s="230">
        <f t="shared" si="27"/>
        <v>15421.700789635637</v>
      </c>
      <c r="AN61" s="230">
        <f t="shared" si="27"/>
        <v>14911.803629170514</v>
      </c>
      <c r="AO61" s="230">
        <f t="shared" si="27"/>
        <v>12617.138765216929</v>
      </c>
      <c r="AP61" s="230">
        <f t="shared" si="27"/>
        <v>12032.529336907275</v>
      </c>
      <c r="AQ61" s="230">
        <f t="shared" si="27"/>
        <v>12032.529336907275</v>
      </c>
    </row>
    <row r="62" spans="1:43" ht="12.75">
      <c r="A62" s="22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2.75">
      <c r="A63" s="22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2.75">
      <c r="A64" s="22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2.75">
      <c r="A65" s="227" t="s">
        <v>162</v>
      </c>
      <c r="B65" s="230">
        <f>'Balance Sheet'!B52</f>
        <v>26873</v>
      </c>
      <c r="C65" s="230">
        <f>'Balance Sheet'!C52</f>
        <v>29018</v>
      </c>
      <c r="D65" s="230">
        <f>'Balance Sheet'!D52</f>
        <v>31620</v>
      </c>
      <c r="E65" s="230">
        <f>'Balance Sheet'!E52</f>
        <v>29132</v>
      </c>
      <c r="F65" s="230">
        <f>'Balance Sheet'!F52</f>
        <v>23870</v>
      </c>
      <c r="G65" s="230">
        <f>'Balance Sheet'!G52</f>
        <v>20688</v>
      </c>
      <c r="H65" s="230">
        <f>'Balance Sheet'!H52</f>
        <v>18462</v>
      </c>
      <c r="I65" s="230">
        <f>'Balance Sheet'!I52</f>
        <v>18035</v>
      </c>
      <c r="J65" s="230">
        <f>'Balance Sheet'!J52</f>
        <v>19933</v>
      </c>
      <c r="K65" s="230">
        <f>'Balance Sheet'!K52</f>
        <v>19120</v>
      </c>
      <c r="L65" s="230">
        <f>'Balance Sheet'!L52</f>
        <v>17903</v>
      </c>
      <c r="M65" s="230">
        <f>'Balance Sheet'!M52</f>
        <v>16998</v>
      </c>
      <c r="N65" s="230">
        <f>'Balance Sheet'!N52</f>
        <v>16998</v>
      </c>
      <c r="O65" s="230">
        <f>'Balance Sheet'!O52</f>
        <v>14194</v>
      </c>
      <c r="P65" s="230">
        <f>'Balance Sheet'!P52</f>
        <v>13195</v>
      </c>
      <c r="Q65" s="230">
        <f>'Balance Sheet'!Q52</f>
        <v>12195</v>
      </c>
      <c r="R65" s="230">
        <f>'Balance Sheet'!R52</f>
        <v>11194</v>
      </c>
      <c r="S65" s="230">
        <f>'Balance Sheet'!S52</f>
        <v>10194</v>
      </c>
      <c r="T65" s="230">
        <f>'Balance Sheet'!T52</f>
        <v>9238</v>
      </c>
      <c r="U65" s="230">
        <f>'Balance Sheet'!U52</f>
        <v>34147</v>
      </c>
      <c r="V65" s="230">
        <f>'Balance Sheet'!V52</f>
        <v>33147</v>
      </c>
      <c r="W65" s="230">
        <f>'Balance Sheet'!W52</f>
        <v>48147</v>
      </c>
      <c r="X65" s="230">
        <f>'Balance Sheet'!X52</f>
        <v>48147</v>
      </c>
      <c r="Y65" s="230">
        <f>'Balance Sheet'!Y52</f>
        <v>51146.974846988465</v>
      </c>
      <c r="Z65" s="230">
        <f>'Balance Sheet'!Z52</f>
        <v>59147.15125066925</v>
      </c>
      <c r="AA65" s="230">
        <f>'Balance Sheet'!AA52</f>
        <v>66147.51644021444</v>
      </c>
      <c r="AB65" s="230">
        <f>'Balance Sheet'!AB52</f>
        <v>69147.60697235132</v>
      </c>
      <c r="AC65" s="230">
        <f>'Balance Sheet'!AC52</f>
        <v>69147.26376120615</v>
      </c>
      <c r="AD65" s="230">
        <f>'Balance Sheet'!AD52</f>
        <v>69147.46609327811</v>
      </c>
      <c r="AE65" s="230">
        <f>'Balance Sheet'!AE52</f>
        <v>62147.93798043743</v>
      </c>
      <c r="AF65" s="230">
        <f>'Balance Sheet'!AF52</f>
        <v>64147.82479845377</v>
      </c>
      <c r="AG65" s="230">
        <f>'Balance Sheet'!AG52</f>
        <v>62147.42126765099</v>
      </c>
      <c r="AH65" s="230">
        <f>'Balance Sheet'!AH52</f>
        <v>59147.203576876316</v>
      </c>
      <c r="AI65" s="230">
        <f>'Balance Sheet'!AI52</f>
        <v>48233.31273821569</v>
      </c>
      <c r="AJ65" s="230">
        <f>'Balance Sheet'!AJ52</f>
        <v>38566.854505034156</v>
      </c>
      <c r="AK65" s="230">
        <f>'Balance Sheet'!AK52</f>
        <v>44566.76059905108</v>
      </c>
      <c r="AL65" s="230">
        <f>'Balance Sheet'!AL52</f>
        <v>37567.15240270889</v>
      </c>
      <c r="AM65" s="230">
        <f>'Balance Sheet'!AM52</f>
        <v>28778.50018105426</v>
      </c>
      <c r="AN65" s="230">
        <f>'Balance Sheet'!AN52</f>
        <v>19650.098601782985</v>
      </c>
      <c r="AO65" s="230">
        <f>'Balance Sheet'!AO52</f>
        <v>11541.491343441965</v>
      </c>
      <c r="AP65" s="230">
        <f>'Balance Sheet'!AP52</f>
        <v>8022.213813008102</v>
      </c>
      <c r="AQ65" s="230">
        <f>'Balance Sheet'!AQ52</f>
        <v>5672.155139193551</v>
      </c>
    </row>
    <row r="66" spans="1:43" ht="12.75">
      <c r="A66" s="227" t="s">
        <v>98</v>
      </c>
      <c r="B66" s="219">
        <f>'Balance Sheet'!B49</f>
        <v>21586</v>
      </c>
      <c r="C66" s="219">
        <f>'Balance Sheet'!C49</f>
        <v>25061</v>
      </c>
      <c r="D66" s="219">
        <f>'Balance Sheet'!D49</f>
        <v>25421</v>
      </c>
      <c r="E66" s="219">
        <f>'Balance Sheet'!E49</f>
        <v>24792</v>
      </c>
      <c r="F66" s="219">
        <f>'Balance Sheet'!F49</f>
        <v>23870</v>
      </c>
      <c r="G66" s="219">
        <f>'Balance Sheet'!G49</f>
        <v>20688</v>
      </c>
      <c r="H66" s="219">
        <f>'Balance Sheet'!H49</f>
        <v>18462</v>
      </c>
      <c r="I66" s="219">
        <f>'Balance Sheet'!I49</f>
        <v>18035</v>
      </c>
      <c r="J66" s="219">
        <f>'Balance Sheet'!J49</f>
        <v>17028</v>
      </c>
      <c r="K66" s="219">
        <f>'Balance Sheet'!K49</f>
        <v>18022</v>
      </c>
      <c r="L66" s="219">
        <f>'Balance Sheet'!L49</f>
        <v>17903</v>
      </c>
      <c r="M66" s="219">
        <f>'Balance Sheet'!M49</f>
        <v>16998</v>
      </c>
      <c r="N66" s="219">
        <f>'Balance Sheet'!N49</f>
        <v>16998</v>
      </c>
      <c r="O66" s="219">
        <f>'Balance Sheet'!O49</f>
        <v>14194</v>
      </c>
      <c r="P66" s="219">
        <f>'Balance Sheet'!P49</f>
        <v>13195</v>
      </c>
      <c r="Q66" s="219">
        <f>'Balance Sheet'!Q49</f>
        <v>12195</v>
      </c>
      <c r="R66" s="219">
        <f>'Balance Sheet'!R49</f>
        <v>11194</v>
      </c>
      <c r="S66" s="219">
        <f>'Balance Sheet'!S49</f>
        <v>10194</v>
      </c>
      <c r="T66" s="219">
        <f>'Balance Sheet'!T49</f>
        <v>9238</v>
      </c>
      <c r="U66" s="219">
        <f>'Balance Sheet'!U49</f>
        <v>34147</v>
      </c>
      <c r="V66" s="219">
        <f>'Balance Sheet'!V49</f>
        <v>33147</v>
      </c>
      <c r="W66" s="219">
        <f>'Balance Sheet'!W49</f>
        <v>48147</v>
      </c>
      <c r="X66" s="219">
        <f>'Balance Sheet'!X49</f>
        <v>48147</v>
      </c>
      <c r="Y66" s="219">
        <f>'Balance Sheet'!Y49</f>
        <v>51146.974846988465</v>
      </c>
      <c r="Z66" s="219">
        <f>'Balance Sheet'!Z49</f>
        <v>59147.15125066925</v>
      </c>
      <c r="AA66" s="219">
        <f>'Balance Sheet'!AA49</f>
        <v>66147.51644021444</v>
      </c>
      <c r="AB66" s="219">
        <f>'Balance Sheet'!AB49</f>
        <v>69147.60697235132</v>
      </c>
      <c r="AC66" s="219">
        <f>'Balance Sheet'!AC49</f>
        <v>69147.26376120615</v>
      </c>
      <c r="AD66" s="219">
        <f>'Balance Sheet'!AD49</f>
        <v>69147.46609327811</v>
      </c>
      <c r="AE66" s="219">
        <f>'Balance Sheet'!AE49</f>
        <v>62147.93798043743</v>
      </c>
      <c r="AF66" s="219">
        <f>'Balance Sheet'!AF49</f>
        <v>64147.82479845377</v>
      </c>
      <c r="AG66" s="219">
        <f>'Balance Sheet'!AG49</f>
        <v>62147.42126765099</v>
      </c>
      <c r="AH66" s="219">
        <f>'Balance Sheet'!AH49</f>
        <v>59147.203576876316</v>
      </c>
      <c r="AI66" s="219">
        <f>'Balance Sheet'!AI49</f>
        <v>48233.31273821569</v>
      </c>
      <c r="AJ66" s="219">
        <f>'Balance Sheet'!AJ49</f>
        <v>38566.854505034156</v>
      </c>
      <c r="AK66" s="219">
        <f>'Balance Sheet'!AK49</f>
        <v>44566.76059905108</v>
      </c>
      <c r="AL66" s="219">
        <f>'Balance Sheet'!AL49</f>
        <v>37567.15240270889</v>
      </c>
      <c r="AM66" s="219">
        <f>'Balance Sheet'!AM49</f>
        <v>28778.50018105426</v>
      </c>
      <c r="AN66" s="219">
        <f>'Balance Sheet'!AN49</f>
        <v>19650.098601782985</v>
      </c>
      <c r="AO66" s="219">
        <f>'Balance Sheet'!AO49</f>
        <v>11541.491343441965</v>
      </c>
      <c r="AP66" s="219">
        <f>'Balance Sheet'!AP49</f>
        <v>8022.213813008102</v>
      </c>
      <c r="AQ66" s="219">
        <f>'Balance Sheet'!AQ49</f>
        <v>5672.155139193551</v>
      </c>
    </row>
    <row r="67" spans="1:43" ht="12.75">
      <c r="A67" s="227" t="s">
        <v>481</v>
      </c>
      <c r="B67" s="219">
        <f aca="true" t="shared" si="28" ref="B67:AQ67">B70*B6</f>
        <v>33111</v>
      </c>
      <c r="C67" s="219">
        <f t="shared" si="28"/>
        <v>27640.5</v>
      </c>
      <c r="D67" s="219">
        <f t="shared" si="28"/>
        <v>21168</v>
      </c>
      <c r="E67" s="219">
        <f t="shared" si="28"/>
        <v>30739.5</v>
      </c>
      <c r="F67" s="219">
        <f t="shared" si="28"/>
        <v>33546</v>
      </c>
      <c r="G67" s="219">
        <f t="shared" si="28"/>
        <v>35833.5</v>
      </c>
      <c r="H67" s="219">
        <f t="shared" si="28"/>
        <v>40753.5</v>
      </c>
      <c r="I67" s="219">
        <f t="shared" si="28"/>
        <v>42774</v>
      </c>
      <c r="J67" s="219">
        <f t="shared" si="28"/>
        <v>47175</v>
      </c>
      <c r="K67" s="219">
        <f t="shared" si="28"/>
        <v>51900</v>
      </c>
      <c r="L67" s="219">
        <f t="shared" si="28"/>
        <v>55251</v>
      </c>
      <c r="M67" s="219">
        <f t="shared" si="28"/>
        <v>60180</v>
      </c>
      <c r="N67" s="219">
        <f t="shared" si="28"/>
        <v>66165</v>
      </c>
      <c r="O67" s="219">
        <f t="shared" si="28"/>
        <v>72942</v>
      </c>
      <c r="P67" s="219">
        <f t="shared" si="28"/>
        <v>80046</v>
      </c>
      <c r="Q67" s="219">
        <f t="shared" si="28"/>
        <v>85456.5</v>
      </c>
      <c r="R67" s="219">
        <f t="shared" si="28"/>
        <v>91582.5</v>
      </c>
      <c r="S67" s="219">
        <f t="shared" si="28"/>
        <v>96747</v>
      </c>
      <c r="T67" s="219">
        <f t="shared" si="28"/>
        <v>103128</v>
      </c>
      <c r="U67" s="219">
        <f t="shared" si="28"/>
        <v>112359</v>
      </c>
      <c r="V67" s="219">
        <f t="shared" si="28"/>
        <v>136503</v>
      </c>
      <c r="W67" s="219">
        <f t="shared" si="28"/>
        <v>147255</v>
      </c>
      <c r="X67" s="219">
        <f t="shared" si="28"/>
        <v>156955.5</v>
      </c>
      <c r="Y67" s="219">
        <f t="shared" si="28"/>
        <v>164960.2305</v>
      </c>
      <c r="Z67" s="219">
        <f t="shared" si="28"/>
        <v>173373.2022555</v>
      </c>
      <c r="AA67" s="219">
        <f t="shared" si="28"/>
        <v>182215.23557053047</v>
      </c>
      <c r="AB67" s="219">
        <f t="shared" si="28"/>
        <v>191508.21258462753</v>
      </c>
      <c r="AC67" s="219">
        <f t="shared" si="28"/>
        <v>201275.13142644352</v>
      </c>
      <c r="AD67" s="219">
        <f t="shared" si="28"/>
        <v>211540.16312919214</v>
      </c>
      <c r="AE67" s="219">
        <f t="shared" si="28"/>
        <v>222328.7114487809</v>
      </c>
      <c r="AF67" s="219">
        <f t="shared" si="28"/>
        <v>233667.4757326687</v>
      </c>
      <c r="AG67" s="219">
        <f t="shared" si="28"/>
        <v>245584.51699503482</v>
      </c>
      <c r="AH67" s="219">
        <f t="shared" si="28"/>
        <v>258109.32736178156</v>
      </c>
      <c r="AI67" s="219">
        <f t="shared" si="28"/>
        <v>271272.9030572324</v>
      </c>
      <c r="AJ67" s="219">
        <f t="shared" si="28"/>
        <v>285107.82111315127</v>
      </c>
      <c r="AK67" s="219">
        <f t="shared" si="28"/>
        <v>299648.31998992193</v>
      </c>
      <c r="AL67" s="219">
        <f t="shared" si="28"/>
        <v>314930.3843094079</v>
      </c>
      <c r="AM67" s="219">
        <f t="shared" si="28"/>
        <v>330991.8339091877</v>
      </c>
      <c r="AN67" s="219">
        <f t="shared" si="28"/>
        <v>347872.41743855627</v>
      </c>
      <c r="AO67" s="219">
        <f t="shared" si="28"/>
        <v>365613.91072792263</v>
      </c>
      <c r="AP67" s="219">
        <f t="shared" si="28"/>
        <v>384260.22017504665</v>
      </c>
      <c r="AQ67" s="219">
        <f t="shared" si="28"/>
        <v>403857.491403974</v>
      </c>
    </row>
    <row r="68" spans="1:43" ht="12.75">
      <c r="A68" s="227" t="s">
        <v>480</v>
      </c>
      <c r="B68" s="232">
        <f aca="true" t="shared" si="29" ref="B68:AQ68">B71*B6</f>
        <v>22074</v>
      </c>
      <c r="C68" s="232">
        <f t="shared" si="29"/>
        <v>18427</v>
      </c>
      <c r="D68" s="232">
        <f t="shared" si="29"/>
        <v>14112</v>
      </c>
      <c r="E68" s="232">
        <f t="shared" si="29"/>
        <v>20493</v>
      </c>
      <c r="F68" s="232">
        <f t="shared" si="29"/>
        <v>22364</v>
      </c>
      <c r="G68" s="232">
        <f t="shared" si="29"/>
        <v>23889</v>
      </c>
      <c r="H68" s="232">
        <f t="shared" si="29"/>
        <v>27169</v>
      </c>
      <c r="I68" s="232">
        <f t="shared" si="29"/>
        <v>28516</v>
      </c>
      <c r="J68" s="232">
        <f t="shared" si="29"/>
        <v>31450</v>
      </c>
      <c r="K68" s="232">
        <f t="shared" si="29"/>
        <v>34600</v>
      </c>
      <c r="L68" s="232">
        <f t="shared" si="29"/>
        <v>36834</v>
      </c>
      <c r="M68" s="232">
        <f t="shared" si="29"/>
        <v>40120</v>
      </c>
      <c r="N68" s="232">
        <f t="shared" si="29"/>
        <v>44110</v>
      </c>
      <c r="O68" s="232">
        <f t="shared" si="29"/>
        <v>48628</v>
      </c>
      <c r="P68" s="232">
        <f t="shared" si="29"/>
        <v>53364</v>
      </c>
      <c r="Q68" s="232">
        <f t="shared" si="29"/>
        <v>56971</v>
      </c>
      <c r="R68" s="232">
        <f t="shared" si="29"/>
        <v>61055</v>
      </c>
      <c r="S68" s="232">
        <f t="shared" si="29"/>
        <v>64498</v>
      </c>
      <c r="T68" s="232">
        <f t="shared" si="29"/>
        <v>68752</v>
      </c>
      <c r="U68" s="232">
        <f t="shared" si="29"/>
        <v>74906</v>
      </c>
      <c r="V68" s="232">
        <f t="shared" si="29"/>
        <v>91002</v>
      </c>
      <c r="W68" s="232">
        <f t="shared" si="29"/>
        <v>98170</v>
      </c>
      <c r="X68" s="232">
        <f t="shared" si="29"/>
        <v>104637</v>
      </c>
      <c r="Y68" s="232">
        <f t="shared" si="29"/>
        <v>109973.487</v>
      </c>
      <c r="Z68" s="232">
        <f t="shared" si="29"/>
        <v>115582.13483699999</v>
      </c>
      <c r="AA68" s="232">
        <f t="shared" si="29"/>
        <v>121476.82371368699</v>
      </c>
      <c r="AB68" s="232">
        <f t="shared" si="29"/>
        <v>127672.14172308502</v>
      </c>
      <c r="AC68" s="232">
        <f t="shared" si="29"/>
        <v>134183.42095096235</v>
      </c>
      <c r="AD68" s="232">
        <f t="shared" si="29"/>
        <v>141026.77541946142</v>
      </c>
      <c r="AE68" s="232">
        <f t="shared" si="29"/>
        <v>148219.14096585393</v>
      </c>
      <c r="AF68" s="232">
        <f t="shared" si="29"/>
        <v>155778.31715511248</v>
      </c>
      <c r="AG68" s="232">
        <f t="shared" si="29"/>
        <v>163723.0113300232</v>
      </c>
      <c r="AH68" s="232">
        <f t="shared" si="29"/>
        <v>172072.88490785437</v>
      </c>
      <c r="AI68" s="232">
        <f t="shared" si="29"/>
        <v>180848.60203815493</v>
      </c>
      <c r="AJ68" s="232">
        <f t="shared" si="29"/>
        <v>190071.88074210082</v>
      </c>
      <c r="AK68" s="232">
        <f t="shared" si="29"/>
        <v>199765.54665994796</v>
      </c>
      <c r="AL68" s="232">
        <f t="shared" si="29"/>
        <v>209953.58953960528</v>
      </c>
      <c r="AM68" s="232">
        <f t="shared" si="29"/>
        <v>220661.22260612514</v>
      </c>
      <c r="AN68" s="232">
        <f t="shared" si="29"/>
        <v>231914.9449590375</v>
      </c>
      <c r="AO68" s="232">
        <f t="shared" si="29"/>
        <v>243742.6071519484</v>
      </c>
      <c r="AP68" s="232">
        <f t="shared" si="29"/>
        <v>256173.48011669776</v>
      </c>
      <c r="AQ68" s="232">
        <f t="shared" si="29"/>
        <v>269238.32760264934</v>
      </c>
    </row>
    <row r="69" spans="1:43" ht="12.75">
      <c r="A69" s="227" t="s">
        <v>37</v>
      </c>
      <c r="B69" s="231">
        <f aca="true" t="shared" si="30" ref="B69:AQ69">B65/B6</f>
        <v>1.2174050919633959</v>
      </c>
      <c r="C69" s="231">
        <f t="shared" si="30"/>
        <v>1.5747544364248114</v>
      </c>
      <c r="D69" s="231">
        <f t="shared" si="30"/>
        <v>2.2406462585034013</v>
      </c>
      <c r="E69" s="231">
        <f t="shared" si="30"/>
        <v>1.421558580978871</v>
      </c>
      <c r="F69" s="231">
        <f t="shared" si="30"/>
        <v>1.0673403684492935</v>
      </c>
      <c r="G69" s="231">
        <f t="shared" si="30"/>
        <v>0.8660052743940726</v>
      </c>
      <c r="H69" s="231">
        <f t="shared" si="30"/>
        <v>0.6795244580220103</v>
      </c>
      <c r="I69" s="231">
        <f t="shared" si="30"/>
        <v>0.6324519567961846</v>
      </c>
      <c r="J69" s="231">
        <f t="shared" si="30"/>
        <v>0.6337996820349762</v>
      </c>
      <c r="K69" s="231">
        <f t="shared" si="30"/>
        <v>0.5526011560693641</v>
      </c>
      <c r="L69" s="231">
        <f t="shared" si="30"/>
        <v>0.486045501438888</v>
      </c>
      <c r="M69" s="231">
        <f t="shared" si="30"/>
        <v>0.423678963110668</v>
      </c>
      <c r="N69" s="231">
        <f t="shared" si="30"/>
        <v>0.3853547948311041</v>
      </c>
      <c r="O69" s="231">
        <f t="shared" si="30"/>
        <v>0.291889446409476</v>
      </c>
      <c r="P69" s="231">
        <f t="shared" si="30"/>
        <v>0.2472640731579342</v>
      </c>
      <c r="Q69" s="231">
        <f t="shared" si="30"/>
        <v>0.2140562742447912</v>
      </c>
      <c r="R69" s="231">
        <f t="shared" si="30"/>
        <v>0.18334288756039635</v>
      </c>
      <c r="S69" s="231">
        <f t="shared" si="30"/>
        <v>0.15805141244689758</v>
      </c>
      <c r="T69" s="231">
        <f t="shared" si="30"/>
        <v>0.1343670002327205</v>
      </c>
      <c r="U69" s="231">
        <f t="shared" si="30"/>
        <v>0.4558646837369503</v>
      </c>
      <c r="V69" s="231">
        <f t="shared" si="30"/>
        <v>0.36424474187380496</v>
      </c>
      <c r="W69" s="231">
        <f t="shared" si="30"/>
        <v>0.49044514617500257</v>
      </c>
      <c r="X69" s="231">
        <f t="shared" si="30"/>
        <v>0.46013360474784254</v>
      </c>
      <c r="Y69" s="231">
        <f t="shared" si="30"/>
        <v>0.4650845966809115</v>
      </c>
      <c r="Z69" s="231">
        <f t="shared" si="30"/>
        <v>0.5117326421949351</v>
      </c>
      <c r="AA69" s="231">
        <f t="shared" si="30"/>
        <v>0.5445278730379044</v>
      </c>
      <c r="AB69" s="231">
        <f t="shared" si="30"/>
        <v>0.5416029373293454</v>
      </c>
      <c r="AC69" s="231">
        <f t="shared" si="30"/>
        <v>0.5153189810720072</v>
      </c>
      <c r="AD69" s="231">
        <f t="shared" si="30"/>
        <v>0.4903144519018471</v>
      </c>
      <c r="AE69" s="231">
        <f t="shared" si="30"/>
        <v>0.41929765329536484</v>
      </c>
      <c r="AF69" s="231">
        <f t="shared" si="30"/>
        <v>0.4117891756051012</v>
      </c>
      <c r="AG69" s="231">
        <f t="shared" si="30"/>
        <v>0.3795887991723893</v>
      </c>
      <c r="AH69" s="231">
        <f t="shared" si="30"/>
        <v>0.34373343370485043</v>
      </c>
      <c r="AI69" s="231">
        <f t="shared" si="30"/>
        <v>0.26670547736962635</v>
      </c>
      <c r="AJ69" s="231">
        <f t="shared" si="30"/>
        <v>0.20290668116954985</v>
      </c>
      <c r="AK69" s="231">
        <f t="shared" si="30"/>
        <v>0.22309533022185804</v>
      </c>
      <c r="AL69" s="231">
        <f t="shared" si="30"/>
        <v>0.1789307460048083</v>
      </c>
      <c r="AM69" s="231">
        <f t="shared" si="30"/>
        <v>0.13041938153502927</v>
      </c>
      <c r="AN69" s="231">
        <f t="shared" si="30"/>
        <v>0.08472976420408666</v>
      </c>
      <c r="AO69" s="231">
        <f t="shared" si="30"/>
        <v>0.04735114421848714</v>
      </c>
      <c r="AP69" s="231">
        <f t="shared" si="30"/>
        <v>0.03131555151358231</v>
      </c>
      <c r="AQ69" s="231">
        <f t="shared" si="30"/>
        <v>0.021067413357152856</v>
      </c>
    </row>
    <row r="70" spans="1:43" ht="12.75">
      <c r="A70" s="227" t="s">
        <v>482</v>
      </c>
      <c r="B70" s="231">
        <v>1.5</v>
      </c>
      <c r="C70" s="231">
        <v>1.5</v>
      </c>
      <c r="D70" s="231">
        <v>1.5</v>
      </c>
      <c r="E70" s="231">
        <v>1.5</v>
      </c>
      <c r="F70" s="231">
        <v>1.5</v>
      </c>
      <c r="G70" s="231">
        <v>1.5</v>
      </c>
      <c r="H70" s="231">
        <v>1.5</v>
      </c>
      <c r="I70" s="231">
        <v>1.5</v>
      </c>
      <c r="J70" s="231">
        <v>1.5</v>
      </c>
      <c r="K70" s="231">
        <v>1.5</v>
      </c>
      <c r="L70" s="231">
        <v>1.5</v>
      </c>
      <c r="M70" s="231">
        <v>1.5</v>
      </c>
      <c r="N70" s="231">
        <v>1.5</v>
      </c>
      <c r="O70" s="231">
        <v>1.5</v>
      </c>
      <c r="P70" s="231">
        <v>1.5</v>
      </c>
      <c r="Q70" s="231">
        <v>1.5</v>
      </c>
      <c r="R70" s="231">
        <v>1.5</v>
      </c>
      <c r="S70" s="231">
        <v>1.5</v>
      </c>
      <c r="T70" s="231">
        <v>1.5</v>
      </c>
      <c r="U70" s="231">
        <v>1.5</v>
      </c>
      <c r="V70" s="231">
        <v>1.5</v>
      </c>
      <c r="W70" s="231">
        <v>1.5</v>
      </c>
      <c r="X70" s="231">
        <v>1.5</v>
      </c>
      <c r="Y70" s="231">
        <v>1.5</v>
      </c>
      <c r="Z70" s="231">
        <v>1.5</v>
      </c>
      <c r="AA70" s="231">
        <v>1.5</v>
      </c>
      <c r="AB70" s="231">
        <v>1.5</v>
      </c>
      <c r="AC70" s="231">
        <v>1.5</v>
      </c>
      <c r="AD70" s="231">
        <v>1.5</v>
      </c>
      <c r="AE70" s="231">
        <v>1.5</v>
      </c>
      <c r="AF70" s="231">
        <v>1.5</v>
      </c>
      <c r="AG70" s="231">
        <v>1.5</v>
      </c>
      <c r="AH70" s="231">
        <v>1.5</v>
      </c>
      <c r="AI70" s="231">
        <v>1.5</v>
      </c>
      <c r="AJ70" s="231">
        <v>1.5</v>
      </c>
      <c r="AK70" s="231">
        <v>1.5</v>
      </c>
      <c r="AL70" s="231">
        <v>1.5</v>
      </c>
      <c r="AM70" s="231">
        <v>1.5</v>
      </c>
      <c r="AN70" s="231">
        <v>1.5</v>
      </c>
      <c r="AO70" s="231">
        <v>1.5</v>
      </c>
      <c r="AP70" s="231">
        <v>1.5</v>
      </c>
      <c r="AQ70" s="231">
        <v>1.5</v>
      </c>
    </row>
    <row r="71" spans="1:43" ht="12.75">
      <c r="A71" s="227" t="s">
        <v>483</v>
      </c>
      <c r="B71" s="231">
        <v>1</v>
      </c>
      <c r="C71" s="231">
        <v>1</v>
      </c>
      <c r="D71" s="231">
        <v>1</v>
      </c>
      <c r="E71" s="231">
        <v>1</v>
      </c>
      <c r="F71" s="231">
        <v>1</v>
      </c>
      <c r="G71" s="231">
        <v>1</v>
      </c>
      <c r="H71" s="231">
        <v>1</v>
      </c>
      <c r="I71" s="231">
        <v>1</v>
      </c>
      <c r="J71" s="231">
        <v>1</v>
      </c>
      <c r="K71" s="231">
        <v>1</v>
      </c>
      <c r="L71" s="231">
        <v>1</v>
      </c>
      <c r="M71" s="231">
        <v>1</v>
      </c>
      <c r="N71" s="231">
        <v>1</v>
      </c>
      <c r="O71" s="231">
        <v>1</v>
      </c>
      <c r="P71" s="231">
        <v>1</v>
      </c>
      <c r="Q71" s="231">
        <v>1</v>
      </c>
      <c r="R71" s="231">
        <v>1</v>
      </c>
      <c r="S71" s="231">
        <v>1</v>
      </c>
      <c r="T71" s="231">
        <v>1</v>
      </c>
      <c r="U71" s="231">
        <v>1</v>
      </c>
      <c r="V71" s="231">
        <v>1</v>
      </c>
      <c r="W71" s="231">
        <v>1</v>
      </c>
      <c r="X71" s="231">
        <v>1</v>
      </c>
      <c r="Y71" s="231">
        <v>1</v>
      </c>
      <c r="Z71" s="231">
        <v>1</v>
      </c>
      <c r="AA71" s="231">
        <v>1</v>
      </c>
      <c r="AB71" s="231">
        <v>1</v>
      </c>
      <c r="AC71" s="231">
        <v>1</v>
      </c>
      <c r="AD71" s="231">
        <v>1</v>
      </c>
      <c r="AE71" s="231">
        <v>1</v>
      </c>
      <c r="AF71" s="231">
        <v>1</v>
      </c>
      <c r="AG71" s="231">
        <v>1</v>
      </c>
      <c r="AH71" s="231">
        <v>1</v>
      </c>
      <c r="AI71" s="231">
        <v>1</v>
      </c>
      <c r="AJ71" s="231">
        <v>1</v>
      </c>
      <c r="AK71" s="231">
        <v>1</v>
      </c>
      <c r="AL71" s="231">
        <v>1</v>
      </c>
      <c r="AM71" s="231">
        <v>1</v>
      </c>
      <c r="AN71" s="231">
        <v>1</v>
      </c>
      <c r="AO71" s="231">
        <v>1</v>
      </c>
      <c r="AP71" s="231">
        <v>1</v>
      </c>
      <c r="AQ71" s="231">
        <v>1</v>
      </c>
    </row>
    <row r="72" spans="1:43" ht="12.75">
      <c r="A72" s="227"/>
      <c r="B72" s="17" t="str">
        <f>IF(B69&lt;150%," ","Level High")</f>
        <v> </v>
      </c>
      <c r="C72" s="17"/>
      <c r="D72" s="17"/>
      <c r="E72" s="17" t="str">
        <f>IF(E69&lt;150%," ","Level High")</f>
        <v> </v>
      </c>
      <c r="F72" s="17" t="str">
        <f>IF(F69&lt;150%," ","Level High")</f>
        <v> </v>
      </c>
      <c r="G72" s="17" t="str">
        <f>IF(G69&lt;150%," ","Level High")</f>
        <v> </v>
      </c>
      <c r="H72" s="17" t="str">
        <f>IF(H69&lt;150%," ","Level High")</f>
        <v> </v>
      </c>
      <c r="I72" s="17" t="str">
        <f>IF(I69&lt;150%," ","Level High")</f>
        <v> </v>
      </c>
      <c r="J72" s="17" t="str">
        <f aca="true" t="shared" si="31" ref="J72:Q72">IF(J69&lt;150%," ","Level High")</f>
        <v> </v>
      </c>
      <c r="K72" s="17" t="str">
        <f t="shared" si="31"/>
        <v> </v>
      </c>
      <c r="L72" s="17" t="str">
        <f t="shared" si="31"/>
        <v> </v>
      </c>
      <c r="M72" s="17" t="str">
        <f t="shared" si="31"/>
        <v> </v>
      </c>
      <c r="N72" s="17" t="str">
        <f t="shared" si="31"/>
        <v> </v>
      </c>
      <c r="O72" s="17" t="str">
        <f t="shared" si="31"/>
        <v> </v>
      </c>
      <c r="P72" s="17" t="str">
        <f>IF(P69&lt;150%," ","Level High")</f>
        <v> </v>
      </c>
      <c r="Q72" s="17" t="str">
        <f t="shared" si="31"/>
        <v> </v>
      </c>
      <c r="R72" s="17" t="str">
        <f>IF(R69&lt;150%," ","Level High")</f>
        <v> </v>
      </c>
      <c r="S72" s="17" t="str">
        <f>IF(S69&lt;150%," ","Level High")</f>
        <v> </v>
      </c>
      <c r="T72" s="17" t="str">
        <f>IF(T69&lt;150%," ","Level High")</f>
        <v> </v>
      </c>
      <c r="U72" s="17" t="str">
        <f>IF(U69&lt;150%," ","Level High")</f>
        <v> </v>
      </c>
      <c r="V72" s="17" t="str">
        <f>IF(V69&lt;150%," ","Level High")</f>
        <v> 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2.75">
      <c r="A73" s="228" t="s">
        <v>515</v>
      </c>
      <c r="B73" s="278">
        <f>'Operating Statement'!B33</f>
        <v>1420</v>
      </c>
      <c r="C73" s="278">
        <f>'Operating Statement'!C33</f>
        <v>2156</v>
      </c>
      <c r="D73" s="278">
        <f>'Operating Statement'!D33</f>
        <v>1903</v>
      </c>
      <c r="E73" s="278">
        <f>'Operating Statement'!E33</f>
        <v>2774</v>
      </c>
      <c r="F73" s="278">
        <f>'Operating Statement'!F33</f>
        <v>1852</v>
      </c>
      <c r="G73" s="278">
        <f>'Operating Statement'!G33</f>
        <v>1511</v>
      </c>
      <c r="H73" s="278">
        <f>'Operating Statement'!H33</f>
        <v>1248</v>
      </c>
      <c r="I73" s="278">
        <f>'Operating Statement'!I33</f>
        <v>1142</v>
      </c>
      <c r="J73" s="278">
        <f>'Operating Statement'!J33</f>
        <v>1037</v>
      </c>
      <c r="K73" s="278">
        <f>'Operating Statement'!K33</f>
        <v>1126</v>
      </c>
      <c r="L73" s="278">
        <f>'Operating Statement'!L33</f>
        <v>1101</v>
      </c>
      <c r="M73" s="278">
        <f>'Operating Statement'!M33</f>
        <v>1016</v>
      </c>
      <c r="N73" s="278">
        <f>'Operating Statement'!N33</f>
        <v>970</v>
      </c>
      <c r="O73" s="278">
        <f>'Operating Statement'!O33</f>
        <v>1029</v>
      </c>
      <c r="P73" s="278">
        <f>'Operating Statement'!P33</f>
        <v>849</v>
      </c>
      <c r="Q73" s="278">
        <f>'Operating Statement'!Q33</f>
        <v>774</v>
      </c>
      <c r="R73" s="278">
        <f>'Operating Statement'!R33</f>
        <v>711</v>
      </c>
      <c r="S73" s="278">
        <f>'Operating Statement'!S33</f>
        <v>644</v>
      </c>
      <c r="T73" s="278">
        <f>'Operating Statement'!T33</f>
        <v>579</v>
      </c>
      <c r="U73" s="278">
        <f>'Operating Statement'!U33</f>
        <v>1222</v>
      </c>
      <c r="V73" s="278">
        <f>'Operating Statement'!V33</f>
        <v>1796</v>
      </c>
      <c r="W73" s="278">
        <f>'Operating Statement'!W33</f>
        <v>1848</v>
      </c>
      <c r="X73" s="278">
        <f>'Operating Statement'!X33</f>
        <v>2343</v>
      </c>
      <c r="Y73" s="278">
        <f>'Operating Statement'!Y33</f>
        <v>2432.76</v>
      </c>
      <c r="Z73" s="278">
        <f>'Operating Statement'!Z33</f>
        <v>2758.9579877590772</v>
      </c>
      <c r="AA73" s="278">
        <f>'Operating Statement'!AA33</f>
        <v>3490.25210005354</v>
      </c>
      <c r="AB73" s="278">
        <f>'Operating Statement'!AB33</f>
        <v>4106.5213152171555</v>
      </c>
      <c r="AC73" s="278">
        <f>'Operating Statement'!AC33</f>
        <v>4415.768557788106</v>
      </c>
      <c r="AD73" s="278">
        <f>'Operating Statement'!AD33</f>
        <v>4495.221100896492</v>
      </c>
      <c r="AE73" s="278">
        <f>'Operating Statement'!AE33</f>
        <v>4585.837287462248</v>
      </c>
      <c r="AF73" s="278">
        <f>'Operating Statement'!AF33</f>
        <v>4143.595038434994</v>
      </c>
      <c r="AG73" s="278">
        <f>'Operating Statement'!AG33</f>
        <v>3794.5859838763013</v>
      </c>
      <c r="AH73" s="278">
        <f>'Operating Statement'!AH33</f>
        <v>4971.793701412079</v>
      </c>
      <c r="AI73" s="278">
        <f>'Operating Statement'!AI33</f>
        <v>4731.776286150105</v>
      </c>
      <c r="AJ73" s="278">
        <f>'Operating Statement'!AJ33</f>
        <v>3858.6650190572545</v>
      </c>
      <c r="AK73" s="278">
        <f>'Operating Statement'!AK33</f>
        <v>3085.348360402732</v>
      </c>
      <c r="AL73" s="278">
        <f>'Operating Statement'!AL33</f>
        <v>3565.340847924086</v>
      </c>
      <c r="AM73" s="278">
        <f>'Operating Statement'!AM33</f>
        <v>3005.3721922167106</v>
      </c>
      <c r="AN73" s="278">
        <f>'Operating Statement'!AN33</f>
        <v>2302.2800144843404</v>
      </c>
      <c r="AO73" s="278">
        <f>'Operating Statement'!AO33</f>
        <v>1572.0078881426382</v>
      </c>
      <c r="AP73" s="278">
        <f>'Operating Statement'!AP33</f>
        <v>923.3193074753565</v>
      </c>
      <c r="AQ73" s="278">
        <f>'Operating Statement'!AQ33</f>
        <v>641.7771050406475</v>
      </c>
    </row>
    <row r="74" spans="1:43" ht="12.75">
      <c r="A74" s="22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2.75">
      <c r="A75" s="227" t="s">
        <v>36</v>
      </c>
      <c r="B75" s="233">
        <f>'Operating Statement'!B33/'Operating Statement'!B27</f>
        <v>0.029617887535458035</v>
      </c>
      <c r="C75" s="233">
        <f>'Operating Statement'!C33/'Operating Statement'!C27</f>
        <v>0.040929455539524644</v>
      </c>
      <c r="D75" s="233">
        <f>'Operating Statement'!D33/'Operating Statement'!D27</f>
        <v>0.0431313886811269</v>
      </c>
      <c r="E75" s="233">
        <f>'Operating Statement'!E33/'Operating Statement'!E27</f>
        <v>0.047947454844006566</v>
      </c>
      <c r="F75" s="233">
        <f>'Operating Statement'!F33/'Operating Statement'!F27</f>
        <v>0.029911976096261002</v>
      </c>
      <c r="G75" s="233">
        <f>'Operating Statement'!G33/'Operating Statement'!G27</f>
        <v>0.024593499243151743</v>
      </c>
      <c r="H75" s="233">
        <f>'Operating Statement'!H33/'Operating Statement'!H27</f>
        <v>0.01609346589810051</v>
      </c>
      <c r="I75" s="233">
        <f>'Operating Statement'!I33/'Operating Statement'!I27</f>
        <v>0.013849306928291635</v>
      </c>
      <c r="J75" s="233">
        <f>'Operating Statement'!J33/'Operating Statement'!J27</f>
        <v>0.011440738738539954</v>
      </c>
      <c r="K75" s="233">
        <f>'Operating Statement'!K33/'Operating Statement'!K27</f>
        <v>0.010563941870174221</v>
      </c>
      <c r="L75" s="233">
        <f>'Operating Statement'!L33/'Operating Statement'!L27</f>
        <v>0.010850818492711916</v>
      </c>
      <c r="M75" s="233">
        <f>'Operating Statement'!M33/'Operating Statement'!M27</f>
        <v>0.010360158257535588</v>
      </c>
      <c r="N75" s="233">
        <f>'Operating Statement'!N33/'Operating Statement'!N27</f>
        <v>0.00910772466503291</v>
      </c>
      <c r="O75" s="233">
        <f>'Operating Statement'!O33/'Operating Statement'!O27</f>
        <v>0.008722112972129924</v>
      </c>
      <c r="P75" s="233">
        <f>'Operating Statement'!P33/'Operating Statement'!P27</f>
        <v>0.006444560836198847</v>
      </c>
      <c r="Q75" s="233">
        <f>'Operating Statement'!Q33/'Operating Statement'!Q27</f>
        <v>0.005679233376869231</v>
      </c>
      <c r="R75" s="233">
        <f>'Operating Statement'!R33/'Operating Statement'!R27</f>
        <v>0.005070928814429681</v>
      </c>
      <c r="S75" s="233">
        <f>'Operating Statement'!S33/'Operating Statement'!S27</f>
        <v>0.004166316238929179</v>
      </c>
      <c r="T75" s="233">
        <f>'Operating Statement'!T33/'Operating Statement'!T27</f>
        <v>0.003502722323049002</v>
      </c>
      <c r="U75" s="233">
        <f>'Operating Statement'!U33/'Operating Statement'!U27</f>
        <v>0.0075309836500003086</v>
      </c>
      <c r="V75" s="233">
        <f>'Operating Statement'!V33/'Operating Statement'!V27</f>
        <v>0.009315401013490734</v>
      </c>
      <c r="W75" s="233">
        <f>'Operating Statement'!W33/'Operating Statement'!W27</f>
        <v>0.009089388827134384</v>
      </c>
      <c r="X75" s="233">
        <f>'Operating Statement'!X33/'Operating Statement'!X27</f>
        <v>0.012338072669826224</v>
      </c>
      <c r="Y75" s="233">
        <f>'Operating Statement'!Y33/'Operating Statement'!Y27</f>
        <v>0.01226366412066434</v>
      </c>
      <c r="Z75" s="233">
        <f>'Operating Statement'!Z33/'Operating Statement'!Z27</f>
        <v>0.01344523810990266</v>
      </c>
      <c r="AA75" s="233">
        <f>'Operating Statement'!AA33/'Operating Statement'!AA27</f>
        <v>0.01643900971772334</v>
      </c>
      <c r="AB75" s="233">
        <f>'Operating Statement'!AB33/'Operating Statement'!AB27</f>
        <v>0.01856714968300309</v>
      </c>
      <c r="AC75" s="233">
        <f>'Operating Statement'!AC33/'Operating Statement'!AC27</f>
        <v>0.01917290989626757</v>
      </c>
      <c r="AD75" s="233">
        <f>'Operating Statement'!AD33/'Operating Statement'!AD27</f>
        <v>0.018856373194572708</v>
      </c>
      <c r="AE75" s="233">
        <f>'Operating Statement'!AE33/'Operating Statement'!AE27</f>
        <v>0.018352584177942815</v>
      </c>
      <c r="AF75" s="233">
        <f>'Operating Statement'!AF33/'Operating Statement'!AF27</f>
        <v>0.016205988588926953</v>
      </c>
      <c r="AG75" s="233">
        <f>'Operating Statement'!AG33/'Operating Statement'!AG27</f>
        <v>0.01446475114798719</v>
      </c>
      <c r="AH75" s="233">
        <f>'Operating Statement'!AH33/'Operating Statement'!AH27</f>
        <v>0.018259011494681582</v>
      </c>
      <c r="AI75" s="233">
        <f>'Operating Statement'!AI33/'Operating Statement'!AI27</f>
        <v>0.016569747143617298</v>
      </c>
      <c r="AJ75" s="233">
        <f>'Operating Statement'!AJ33/'Operating Statement'!AJ27</f>
        <v>0.013238565307952192</v>
      </c>
      <c r="AK75" s="233">
        <f>'Operating Statement'!AK33/'Operating Statement'!AK27</f>
        <v>0.01026365314621555</v>
      </c>
      <c r="AL75" s="233">
        <f>'Operating Statement'!AL33/'Operating Statement'!AL27</f>
        <v>0.011475266810172777</v>
      </c>
      <c r="AM75" s="233">
        <f>'Operating Statement'!AM33/'Operating Statement'!AM27</f>
        <v>0.009277370230841766</v>
      </c>
      <c r="AN75" s="233">
        <f>'Operating Statement'!AN33/'Operating Statement'!AN27</f>
        <v>0.006824490879805486</v>
      </c>
      <c r="AO75" s="233">
        <f>'Operating Statement'!AO33/'Operating Statement'!AO27</f>
        <v>0.004473409957949295</v>
      </c>
      <c r="AP75" s="233">
        <f>'Operating Statement'!AP33/'Operating Statement'!AP27</f>
        <v>0.002521507008918492</v>
      </c>
      <c r="AQ75" s="233">
        <f>'Operating Statement'!AQ33/'Operating Statement'!AQ27</f>
        <v>0.0014231755228412296</v>
      </c>
    </row>
    <row r="76" spans="1:43" ht="12.75">
      <c r="A76" s="227" t="s">
        <v>102</v>
      </c>
      <c r="B76" s="233">
        <v>0.1</v>
      </c>
      <c r="C76" s="233">
        <v>0.1</v>
      </c>
      <c r="D76" s="233">
        <v>0.1</v>
      </c>
      <c r="E76" s="233">
        <v>0.1</v>
      </c>
      <c r="F76" s="233">
        <v>0.1</v>
      </c>
      <c r="G76" s="233">
        <v>0.1</v>
      </c>
      <c r="H76" s="233">
        <v>0.1</v>
      </c>
      <c r="I76" s="233">
        <v>0.1</v>
      </c>
      <c r="J76" s="233">
        <v>0.1</v>
      </c>
      <c r="K76" s="233">
        <v>0.1</v>
      </c>
      <c r="L76" s="233">
        <v>0.1</v>
      </c>
      <c r="M76" s="233">
        <v>0.1</v>
      </c>
      <c r="N76" s="233">
        <v>0.1</v>
      </c>
      <c r="O76" s="233">
        <v>0.1</v>
      </c>
      <c r="P76" s="233">
        <v>0.1</v>
      </c>
      <c r="Q76" s="233">
        <v>0.1</v>
      </c>
      <c r="R76" s="233">
        <v>0.1</v>
      </c>
      <c r="S76" s="233">
        <v>0.1</v>
      </c>
      <c r="T76" s="233">
        <v>0.1</v>
      </c>
      <c r="U76" s="233">
        <v>0.1</v>
      </c>
      <c r="V76" s="233">
        <v>0.1</v>
      </c>
      <c r="W76" s="233">
        <v>0.1</v>
      </c>
      <c r="X76" s="233">
        <v>0.1</v>
      </c>
      <c r="Y76" s="233">
        <v>0.1</v>
      </c>
      <c r="Z76" s="233">
        <v>0.1</v>
      </c>
      <c r="AA76" s="233">
        <v>0.1</v>
      </c>
      <c r="AB76" s="233">
        <v>0.1</v>
      </c>
      <c r="AC76" s="233">
        <v>0.1</v>
      </c>
      <c r="AD76" s="233">
        <v>0.1</v>
      </c>
      <c r="AE76" s="233">
        <v>0.1</v>
      </c>
      <c r="AF76" s="233">
        <v>0.1</v>
      </c>
      <c r="AG76" s="233">
        <v>0.1</v>
      </c>
      <c r="AH76" s="233">
        <v>0.1</v>
      </c>
      <c r="AI76" s="233">
        <v>0.1</v>
      </c>
      <c r="AJ76" s="233">
        <v>0.1</v>
      </c>
      <c r="AK76" s="233">
        <v>0.1</v>
      </c>
      <c r="AL76" s="233">
        <v>0.1</v>
      </c>
      <c r="AM76" s="233">
        <v>0.1</v>
      </c>
      <c r="AN76" s="233">
        <v>0.1</v>
      </c>
      <c r="AO76" s="233">
        <v>0.1</v>
      </c>
      <c r="AP76" s="233">
        <v>0.1</v>
      </c>
      <c r="AQ76" s="233">
        <v>0.1</v>
      </c>
    </row>
    <row r="77" spans="1:43" ht="12.75">
      <c r="A77" s="227" t="s">
        <v>122</v>
      </c>
      <c r="B77" s="234">
        <f aca="true" t="shared" si="32" ref="B77:AQ77">B73/B6</f>
        <v>0.06432907492978164</v>
      </c>
      <c r="C77" s="234">
        <f t="shared" si="32"/>
        <v>0.11700222499592988</v>
      </c>
      <c r="D77" s="234">
        <f t="shared" si="32"/>
        <v>0.1348497732426304</v>
      </c>
      <c r="E77" s="234">
        <f t="shared" si="32"/>
        <v>0.13536329478358464</v>
      </c>
      <c r="F77" s="234">
        <f t="shared" si="32"/>
        <v>0.08281166159899839</v>
      </c>
      <c r="G77" s="234">
        <f t="shared" si="32"/>
        <v>0.06325086860061116</v>
      </c>
      <c r="H77" s="234">
        <f t="shared" si="32"/>
        <v>0.04593470499466303</v>
      </c>
      <c r="I77" s="234">
        <f t="shared" si="32"/>
        <v>0.04004769252349558</v>
      </c>
      <c r="J77" s="234">
        <f t="shared" si="32"/>
        <v>0.032972972972972976</v>
      </c>
      <c r="K77" s="234">
        <f t="shared" si="32"/>
        <v>0.03254335260115607</v>
      </c>
      <c r="L77" s="234">
        <f t="shared" si="32"/>
        <v>0.029890861703860565</v>
      </c>
      <c r="M77" s="234">
        <f t="shared" si="32"/>
        <v>0.025324027916251247</v>
      </c>
      <c r="N77" s="234">
        <f t="shared" si="32"/>
        <v>0.021990478349580594</v>
      </c>
      <c r="O77" s="234">
        <f t="shared" si="32"/>
        <v>0.021160648186230157</v>
      </c>
      <c r="P77" s="234">
        <f t="shared" si="32"/>
        <v>0.015909601978862153</v>
      </c>
      <c r="Q77" s="234">
        <f t="shared" si="32"/>
        <v>0.013585859472363132</v>
      </c>
      <c r="R77" s="234">
        <f t="shared" si="32"/>
        <v>0.011645237900253869</v>
      </c>
      <c r="S77" s="234">
        <f t="shared" si="32"/>
        <v>0.009984805730410246</v>
      </c>
      <c r="T77" s="234">
        <f t="shared" si="32"/>
        <v>0.008421573190598091</v>
      </c>
      <c r="U77" s="234">
        <f t="shared" si="32"/>
        <v>0.016313779937521693</v>
      </c>
      <c r="V77" s="234">
        <f t="shared" si="32"/>
        <v>0.019735829981758643</v>
      </c>
      <c r="W77" s="234">
        <f t="shared" si="32"/>
        <v>0.018824488132830802</v>
      </c>
      <c r="X77" s="234">
        <f t="shared" si="32"/>
        <v>0.022391697009661975</v>
      </c>
      <c r="Y77" s="234">
        <f t="shared" si="32"/>
        <v>0.022121331844283526</v>
      </c>
      <c r="Z77" s="234">
        <f t="shared" si="32"/>
        <v>0.023870107535649044</v>
      </c>
      <c r="AA77" s="234">
        <f t="shared" si="32"/>
        <v>0.02873183536869418</v>
      </c>
      <c r="AB77" s="234">
        <f t="shared" si="32"/>
        <v>0.03216458390839883</v>
      </c>
      <c r="AC77" s="234">
        <f t="shared" si="32"/>
        <v>0.03290845118192253</v>
      </c>
      <c r="AD77" s="234">
        <f t="shared" si="32"/>
        <v>0.03187494777162834</v>
      </c>
      <c r="AE77" s="234">
        <f t="shared" si="32"/>
        <v>0.030939575398825938</v>
      </c>
      <c r="AF77" s="234">
        <f t="shared" si="32"/>
        <v>0.02659930543677083</v>
      </c>
      <c r="AG77" s="234">
        <f t="shared" si="32"/>
        <v>0.02317686410145119</v>
      </c>
      <c r="AH77" s="234">
        <f t="shared" si="32"/>
        <v>0.028893533714358842</v>
      </c>
      <c r="AI77" s="234">
        <f t="shared" si="32"/>
        <v>0.02616429561977929</v>
      </c>
      <c r="AJ77" s="234">
        <f t="shared" si="32"/>
        <v>0.02030108295867755</v>
      </c>
      <c r="AK77" s="234">
        <f t="shared" si="32"/>
        <v>0.015444847282173156</v>
      </c>
      <c r="AL77" s="234">
        <f t="shared" si="32"/>
        <v>0.01698156652497492</v>
      </c>
      <c r="AM77" s="234">
        <f t="shared" si="32"/>
        <v>0.013619847459928317</v>
      </c>
      <c r="AN77" s="234">
        <f t="shared" si="32"/>
        <v>0.0099272602500498</v>
      </c>
      <c r="AO77" s="234">
        <f t="shared" si="32"/>
        <v>0.0064494587405584496</v>
      </c>
      <c r="AP77" s="234">
        <f t="shared" si="32"/>
        <v>0.0036042735846612455</v>
      </c>
      <c r="AQ77" s="234">
        <f t="shared" si="32"/>
        <v>0.0023836766137836176</v>
      </c>
    </row>
    <row r="78" spans="1:43" ht="12.75">
      <c r="A78" s="22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3" ht="12.75">
      <c r="A79" s="227" t="s">
        <v>124</v>
      </c>
      <c r="B79" s="233">
        <f>-('Cash Flow'!B45+'Cash Flow'!B44)/B6</f>
        <v>0.06414786626800761</v>
      </c>
      <c r="C79" s="233">
        <f>-('Cash Flow'!C45+'Cash Flow'!C44)/C6</f>
        <v>0.0994193303304933</v>
      </c>
      <c r="D79" s="233">
        <f>-('Cash Flow'!D45+'Cash Flow'!D44)/D6</f>
        <v>0.1516439909297052</v>
      </c>
      <c r="E79" s="233">
        <f>-('Cash Flow'!E45+'Cash Flow'!E44)/E6</f>
        <v>0.1282877079978529</v>
      </c>
      <c r="F79" s="233">
        <f>-('Cash Flow'!F45+'Cash Flow'!F44)/F6</f>
        <v>0.13070112681094617</v>
      </c>
      <c r="G79" s="233">
        <f>-('Cash Flow'!G45+'Cash Flow'!G44)/G6</f>
        <v>0.13315752019758048</v>
      </c>
      <c r="H79" s="233">
        <f>-('Cash Flow'!H45+'Cash Flow'!H44)/H6</f>
        <v>0.10953660421804262</v>
      </c>
      <c r="I79" s="233">
        <f>-('Cash Flow'!I45+'Cash Flow'!I44)/I6</f>
        <v>0.11141113760695749</v>
      </c>
      <c r="J79" s="233">
        <f>-('Cash Flow'!J45+'Cash Flow'!J44)/J6</f>
        <v>0.11036565977742448</v>
      </c>
      <c r="K79" s="233">
        <f>-('Cash Flow'!K45+'Cash Flow'!K44)/K6</f>
        <v>0.10815028901734104</v>
      </c>
      <c r="L79" s="233">
        <f>-('Cash Flow'!L45+'Cash Flow'!L44)/L6</f>
        <v>0.0889938643644459</v>
      </c>
      <c r="M79" s="233">
        <f>-('Cash Flow'!M45+'Cash Flow'!M44)/M6</f>
        <v>0.1357926221335992</v>
      </c>
      <c r="N79" s="233">
        <f>-('Cash Flow'!N45+'Cash Flow'!N44)/N6</f>
        <v>0.1173203355248243</v>
      </c>
      <c r="O79" s="233">
        <f>-('Cash Flow'!O45+'Cash Flow'!O44)/O6</f>
        <v>0.057662252200378385</v>
      </c>
      <c r="P79" s="233">
        <f>-('Cash Flow'!P45+'Cash Flow'!P44)/P6</f>
        <v>0.06388201783974215</v>
      </c>
      <c r="Q79" s="233">
        <f>-('Cash Flow'!Q45+'Cash Flow'!Q44)/Q6</f>
        <v>0.060451808815011145</v>
      </c>
      <c r="R79" s="233">
        <f>-('Cash Flow'!R45+'Cash Flow'!R44)/R6</f>
        <v>0.060830398820735404</v>
      </c>
      <c r="S79" s="233">
        <f>-('Cash Flow'!S45+'Cash Flow'!S44)/S6</f>
        <v>0.06248255759868523</v>
      </c>
      <c r="T79" s="233">
        <f>-('Cash Flow'!T45+'Cash Flow'!T44)/T6</f>
        <v>0.056914707935769145</v>
      </c>
      <c r="U79" s="233">
        <f>-('Cash Flow'!U45+'Cash Flow'!U44)/U6</f>
        <v>0.07286465703681948</v>
      </c>
      <c r="V79" s="233">
        <f>-('Cash Flow'!V45+'Cash Flow'!V44)/V6</f>
        <v>0.07248192347420936</v>
      </c>
      <c r="W79" s="233">
        <f>-('Cash Flow'!W45+'Cash Flow'!W44)/W6</f>
        <v>0.10161963940103902</v>
      </c>
      <c r="X79" s="233">
        <f>-('Cash Flow'!X45+'Cash Flow'!X44)/X6</f>
        <v>0.05939581601154467</v>
      </c>
      <c r="Y79" s="233">
        <f>-('Cash Flow'!Y45+'Cash Flow'!Y44)/Y6</f>
        <v>0.05671171591577828</v>
      </c>
      <c r="Z79" s="233">
        <f>-('Cash Flow'!Z45+'Cash Flow'!Z44)/Z6</f>
        <v>0.059765132334854434</v>
      </c>
      <c r="AA79" s="233">
        <f>-('Cash Flow'!AA45+'Cash Flow'!AA44)/AA6</f>
        <v>0.07142010010861698</v>
      </c>
      <c r="AB79" s="233">
        <f>-('Cash Flow'!AB45+'Cash Flow'!AB44)/AB6</f>
        <v>0.0845402186993208</v>
      </c>
      <c r="AC79" s="233">
        <f>-('Cash Flow'!AC45+'Cash Flow'!AC44)/AC6</f>
        <v>0.0929929471204451</v>
      </c>
      <c r="AD79" s="233">
        <f>-('Cash Flow'!AD45+'Cash Flow'!AD44)/AD6</f>
        <v>0.09847079554588012</v>
      </c>
      <c r="AE79" s="233">
        <f>-('Cash Flow'!AE45+'Cash Flow'!AE44)/AE6</f>
        <v>0.09225100962805431</v>
      </c>
      <c r="AF79" s="233">
        <f>-('Cash Flow'!AF45+'Cash Flow'!AF44)/AF6</f>
        <v>0.07832096560826306</v>
      </c>
      <c r="AG79" s="233">
        <f>-('Cash Flow'!AG45+'Cash Flow'!AG44)/AG6</f>
        <v>0.21924828540028532</v>
      </c>
      <c r="AH79" s="233">
        <f>-('Cash Flow'!AH45+'Cash Flow'!AH44)/AH6</f>
        <v>0.09477967084076197</v>
      </c>
      <c r="AI79" s="233">
        <f>-('Cash Flow'!AI45+'Cash Flow'!AI44)/AI6</f>
        <v>0.08651251349739411</v>
      </c>
      <c r="AJ79" s="233">
        <f>-('Cash Flow'!AJ45+'Cash Flow'!AJ44)/AJ6</f>
        <v>0.0711579387725971</v>
      </c>
      <c r="AK79" s="233">
        <f>-('Cash Flow'!AK45+'Cash Flow'!AK44)/AK6</f>
        <v>0.059266687696350184</v>
      </c>
      <c r="AL79" s="233">
        <f>-('Cash Flow'!AL45+'Cash Flow'!AL44)/AL6</f>
        <v>0.06193725514663438</v>
      </c>
      <c r="AM79" s="233">
        <f>-('Cash Flow'!AM45+'Cash Flow'!AM44)/AM6</f>
        <v>0.05344855917400305</v>
      </c>
      <c r="AN79" s="233">
        <f>-('Cash Flow'!AN45+'Cash Flow'!AN44)/AN6</f>
        <v>0.04928824917158566</v>
      </c>
      <c r="AO79" s="233">
        <f>-('Cash Flow'!AO45+'Cash Flow'!AO44)/AO6</f>
        <v>0.039716548779051966</v>
      </c>
      <c r="AP79" s="233">
        <f>-('Cash Flow'!AP45+'Cash Flow'!AP44)/AP6</f>
        <v>0.01734214187934454</v>
      </c>
      <c r="AQ79" s="233">
        <f>-('Cash Flow'!AQ45+'Cash Flow'!AQ44)/AQ6</f>
        <v>0</v>
      </c>
    </row>
    <row r="80" spans="1:43" ht="12.75">
      <c r="A80" s="227"/>
      <c r="B80" s="17" t="str">
        <f aca="true" t="shared" si="33" ref="B80:V80">IF(B75&lt;10%," ","Level High")</f>
        <v> </v>
      </c>
      <c r="C80" s="17" t="str">
        <f t="shared" si="33"/>
        <v> </v>
      </c>
      <c r="D80" s="17" t="str">
        <f t="shared" si="33"/>
        <v> </v>
      </c>
      <c r="E80" s="17" t="str">
        <f t="shared" si="33"/>
        <v> </v>
      </c>
      <c r="F80" s="17" t="str">
        <f t="shared" si="33"/>
        <v> </v>
      </c>
      <c r="G80" s="17" t="str">
        <f t="shared" si="33"/>
        <v> </v>
      </c>
      <c r="H80" s="17" t="str">
        <f t="shared" si="33"/>
        <v> </v>
      </c>
      <c r="I80" s="17" t="str">
        <f t="shared" si="33"/>
        <v> </v>
      </c>
      <c r="J80" s="17" t="str">
        <f t="shared" si="33"/>
        <v> </v>
      </c>
      <c r="K80" s="17" t="str">
        <f t="shared" si="33"/>
        <v> </v>
      </c>
      <c r="L80" s="17" t="str">
        <f t="shared" si="33"/>
        <v> </v>
      </c>
      <c r="M80" s="17" t="str">
        <f t="shared" si="33"/>
        <v> </v>
      </c>
      <c r="N80" s="17" t="str">
        <f t="shared" si="33"/>
        <v> </v>
      </c>
      <c r="O80" s="17" t="str">
        <f t="shared" si="33"/>
        <v> </v>
      </c>
      <c r="P80" s="17" t="str">
        <f t="shared" si="33"/>
        <v> </v>
      </c>
      <c r="Q80" s="17" t="str">
        <f t="shared" si="33"/>
        <v> </v>
      </c>
      <c r="R80" s="17" t="str">
        <f t="shared" si="33"/>
        <v> </v>
      </c>
      <c r="S80" s="17" t="str">
        <f t="shared" si="33"/>
        <v> </v>
      </c>
      <c r="T80" s="17" t="str">
        <f t="shared" si="33"/>
        <v> </v>
      </c>
      <c r="U80" s="17" t="str">
        <f t="shared" si="33"/>
        <v> </v>
      </c>
      <c r="V80" s="17" t="str">
        <f t="shared" si="33"/>
        <v> </v>
      </c>
      <c r="W80" s="17"/>
      <c r="X80" s="17"/>
      <c r="Y80" s="17" t="str">
        <f aca="true" t="shared" si="34" ref="Y80:AQ80">IF(Y75&lt;10%," ","Level High")</f>
        <v> </v>
      </c>
      <c r="Z80" s="17" t="str">
        <f t="shared" si="34"/>
        <v> </v>
      </c>
      <c r="AA80" s="17" t="str">
        <f t="shared" si="34"/>
        <v> </v>
      </c>
      <c r="AB80" s="17" t="str">
        <f t="shared" si="34"/>
        <v> </v>
      </c>
      <c r="AC80" s="17" t="str">
        <f t="shared" si="34"/>
        <v> </v>
      </c>
      <c r="AD80" s="17" t="str">
        <f t="shared" si="34"/>
        <v> </v>
      </c>
      <c r="AE80" s="17" t="str">
        <f t="shared" si="34"/>
        <v> </v>
      </c>
      <c r="AF80" s="17" t="str">
        <f t="shared" si="34"/>
        <v> </v>
      </c>
      <c r="AG80" s="17" t="str">
        <f t="shared" si="34"/>
        <v> </v>
      </c>
      <c r="AH80" s="17" t="str">
        <f t="shared" si="34"/>
        <v> </v>
      </c>
      <c r="AI80" s="17" t="str">
        <f t="shared" si="34"/>
        <v> </v>
      </c>
      <c r="AJ80" s="17" t="str">
        <f t="shared" si="34"/>
        <v> </v>
      </c>
      <c r="AK80" s="17" t="str">
        <f t="shared" si="34"/>
        <v> </v>
      </c>
      <c r="AL80" s="17" t="str">
        <f t="shared" si="34"/>
        <v> </v>
      </c>
      <c r="AM80" s="17" t="str">
        <f t="shared" si="34"/>
        <v> </v>
      </c>
      <c r="AN80" s="17" t="str">
        <f t="shared" si="34"/>
        <v> </v>
      </c>
      <c r="AO80" s="17" t="str">
        <f t="shared" si="34"/>
        <v> </v>
      </c>
      <c r="AP80" s="17" t="str">
        <f t="shared" si="34"/>
        <v> </v>
      </c>
      <c r="AQ80" s="17" t="str">
        <f t="shared" si="34"/>
        <v> 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r:id="rId2"/>
  <headerFooter alignWithMargins="0">
    <oddHeader>&amp;L&amp;D - &amp;T&amp;R&amp;F</oddHead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AQ129"/>
  <sheetViews>
    <sheetView zoomScalePageLayoutView="0" workbookViewId="0" topLeftCell="A1">
      <pane xSplit="1" ySplit="11" topLeftCell="Z12" activePane="bottomRight" state="frozen"/>
      <selection pane="topLeft" activeCell="AE7" sqref="AE7:AF47"/>
      <selection pane="topRight" activeCell="AE7" sqref="AE7:AF47"/>
      <selection pane="bottomLeft" activeCell="AE7" sqref="AE7:AF47"/>
      <selection pane="bottomRight" activeCell="A1" sqref="A1:IV16384"/>
    </sheetView>
  </sheetViews>
  <sheetFormatPr defaultColWidth="12.83203125" defaultRowHeight="12.75"/>
  <cols>
    <col min="1" max="1" width="45.66015625" style="92" customWidth="1"/>
    <col min="2" max="11" width="12.83203125" style="92" customWidth="1"/>
    <col min="12" max="14" width="14.16015625" style="92" customWidth="1"/>
    <col min="15" max="16" width="13" style="92" customWidth="1"/>
    <col min="17" max="42" width="12.83203125" style="92" customWidth="1"/>
    <col min="43" max="16384" width="12.83203125" style="92" customWidth="1"/>
  </cols>
  <sheetData>
    <row r="1" spans="1:23" ht="20.25">
      <c r="A1" s="142" t="s">
        <v>164</v>
      </c>
      <c r="T1" s="93"/>
      <c r="U1" s="93"/>
      <c r="W1" s="94"/>
    </row>
    <row r="2" spans="1:43" ht="12">
      <c r="A2" s="95" t="s">
        <v>236</v>
      </c>
      <c r="B2" s="96">
        <v>0</v>
      </c>
      <c r="C2" s="96">
        <v>-0.2</v>
      </c>
      <c r="D2" s="96">
        <v>0.014</v>
      </c>
      <c r="E2" s="96">
        <v>0.0288</v>
      </c>
      <c r="F2" s="96">
        <v>0.075</v>
      </c>
      <c r="G2" s="96">
        <v>0.07</v>
      </c>
      <c r="H2" s="96">
        <v>0.065</v>
      </c>
      <c r="I2" s="96">
        <v>0.03</v>
      </c>
      <c r="J2" s="96">
        <v>0.06</v>
      </c>
      <c r="K2" s="96">
        <v>0.065</v>
      </c>
      <c r="L2" s="96">
        <v>0.03</v>
      </c>
      <c r="M2" s="96">
        <v>0.055</v>
      </c>
      <c r="N2" s="96">
        <v>0.075</v>
      </c>
      <c r="O2" s="96">
        <v>0.075</v>
      </c>
      <c r="P2" s="96">
        <v>0.055</v>
      </c>
      <c r="Q2" s="96">
        <v>0.04</v>
      </c>
      <c r="R2" s="96">
        <v>0.04</v>
      </c>
      <c r="S2" s="96">
        <v>0.035</v>
      </c>
      <c r="T2" s="96">
        <v>0.045</v>
      </c>
      <c r="U2" s="96">
        <v>0.075</v>
      </c>
      <c r="V2" s="96">
        <v>0.055</v>
      </c>
      <c r="W2" s="277">
        <v>0.055</v>
      </c>
      <c r="X2" s="97">
        <v>0.036</v>
      </c>
      <c r="Y2" s="97">
        <v>0.036</v>
      </c>
      <c r="Z2" s="97">
        <v>0.036</v>
      </c>
      <c r="AA2" s="97">
        <v>0.036</v>
      </c>
      <c r="AB2" s="97">
        <v>0.036</v>
      </c>
      <c r="AC2" s="97">
        <v>0.036</v>
      </c>
      <c r="AD2" s="97">
        <v>0.036</v>
      </c>
      <c r="AE2" s="97">
        <v>0.036</v>
      </c>
      <c r="AF2" s="97">
        <v>0.036</v>
      </c>
      <c r="AG2" s="97">
        <v>0.036</v>
      </c>
      <c r="AH2" s="97">
        <v>0.036</v>
      </c>
      <c r="AI2" s="97">
        <v>0.036</v>
      </c>
      <c r="AJ2" s="97">
        <v>0.036</v>
      </c>
      <c r="AK2" s="97">
        <v>0.036</v>
      </c>
      <c r="AL2" s="97">
        <v>0.036</v>
      </c>
      <c r="AM2" s="97">
        <v>0.036</v>
      </c>
      <c r="AN2" s="97">
        <v>0.036</v>
      </c>
      <c r="AO2" s="97">
        <v>0.036</v>
      </c>
      <c r="AP2" s="97">
        <v>0.036</v>
      </c>
      <c r="AQ2" s="97">
        <v>0.036</v>
      </c>
    </row>
    <row r="3" spans="1:43" ht="12">
      <c r="A3" s="95" t="s">
        <v>237</v>
      </c>
      <c r="C3" s="98">
        <v>-0.16521699737247442</v>
      </c>
      <c r="D3" s="98">
        <v>-0.2341672545720953</v>
      </c>
      <c r="E3" s="98">
        <v>0.45216836734693877</v>
      </c>
      <c r="F3" s="98">
        <v>0.09129946811106232</v>
      </c>
      <c r="G3" s="98">
        <v>0.0681899481309247</v>
      </c>
      <c r="H3" s="98">
        <v>0.13730168696889783</v>
      </c>
      <c r="I3" s="98">
        <v>0.049578563804335826</v>
      </c>
      <c r="J3" s="98">
        <v>0.10288960583532052</v>
      </c>
      <c r="K3" s="98">
        <v>0.10015898251192369</v>
      </c>
      <c r="L3" s="98">
        <v>0.0645664739884393</v>
      </c>
      <c r="M3" s="98">
        <v>0.08921105500352935</v>
      </c>
      <c r="N3" s="98">
        <v>0.09945164506480558</v>
      </c>
      <c r="O3" s="98">
        <v>0.10242575379732487</v>
      </c>
      <c r="P3" s="98">
        <v>0.09739244879493296</v>
      </c>
      <c r="Q3" s="98">
        <v>0.06759238437898209</v>
      </c>
      <c r="R3" s="98">
        <v>0.0716855944252339</v>
      </c>
      <c r="S3" s="98">
        <v>0.05639177790516747</v>
      </c>
      <c r="T3" s="98">
        <v>0.06595553350491488</v>
      </c>
      <c r="U3" s="98">
        <v>0.08951012334186642</v>
      </c>
      <c r="V3" s="98">
        <v>0.21488265292499933</v>
      </c>
      <c r="W3" s="98">
        <v>0.07876749961539307</v>
      </c>
      <c r="X3" s="98">
        <v>0.06587552205358052</v>
      </c>
      <c r="Y3" s="99">
        <v>0.051</v>
      </c>
      <c r="Z3" s="99">
        <v>0.051</v>
      </c>
      <c r="AA3" s="99">
        <v>0.051</v>
      </c>
      <c r="AB3" s="99">
        <v>0.051</v>
      </c>
      <c r="AC3" s="99">
        <v>0.051</v>
      </c>
      <c r="AD3" s="99">
        <v>0.051</v>
      </c>
      <c r="AE3" s="99">
        <v>0.051</v>
      </c>
      <c r="AF3" s="99">
        <v>0.051</v>
      </c>
      <c r="AG3" s="99">
        <v>0.051</v>
      </c>
      <c r="AH3" s="99">
        <v>0.051</v>
      </c>
      <c r="AI3" s="99">
        <v>0.051</v>
      </c>
      <c r="AJ3" s="99">
        <v>0.051</v>
      </c>
      <c r="AK3" s="99">
        <v>0.051</v>
      </c>
      <c r="AL3" s="99">
        <v>0.051</v>
      </c>
      <c r="AM3" s="99">
        <v>0.051</v>
      </c>
      <c r="AN3" s="99">
        <v>0.051</v>
      </c>
      <c r="AO3" s="99">
        <v>0.051</v>
      </c>
      <c r="AP3" s="99">
        <v>0.051</v>
      </c>
      <c r="AQ3" s="99">
        <v>0.051</v>
      </c>
    </row>
    <row r="4" spans="1:43" ht="12">
      <c r="A4" s="95" t="s">
        <v>250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9"/>
      <c r="Y4" s="99">
        <v>0.01</v>
      </c>
      <c r="Z4" s="99">
        <v>0.01</v>
      </c>
      <c r="AA4" s="99">
        <v>0.01</v>
      </c>
      <c r="AB4" s="99">
        <v>0.01</v>
      </c>
      <c r="AC4" s="99">
        <v>0.01</v>
      </c>
      <c r="AD4" s="99">
        <v>0.01</v>
      </c>
      <c r="AE4" s="99">
        <v>0.01</v>
      </c>
      <c r="AF4" s="99">
        <v>0.01</v>
      </c>
      <c r="AG4" s="99">
        <v>0.01</v>
      </c>
      <c r="AH4" s="99">
        <v>0.01</v>
      </c>
      <c r="AI4" s="99">
        <v>0.01</v>
      </c>
      <c r="AJ4" s="99">
        <v>0.01</v>
      </c>
      <c r="AK4" s="99">
        <v>0.01</v>
      </c>
      <c r="AL4" s="99">
        <v>0.01</v>
      </c>
      <c r="AM4" s="99">
        <v>0.01</v>
      </c>
      <c r="AN4" s="99">
        <v>0.01</v>
      </c>
      <c r="AO4" s="99">
        <v>0.01</v>
      </c>
      <c r="AP4" s="99">
        <v>0.01</v>
      </c>
      <c r="AQ4" s="99">
        <v>0.01</v>
      </c>
    </row>
    <row r="5" spans="1:43" ht="12">
      <c r="A5" s="95" t="s">
        <v>235</v>
      </c>
      <c r="C5" s="98">
        <v>0.24360240639310407</v>
      </c>
      <c r="D5" s="98">
        <v>-0.08036101083032492</v>
      </c>
      <c r="E5" s="98">
        <v>0.1033210332103321</v>
      </c>
      <c r="F5" s="98">
        <v>0.10951398277947769</v>
      </c>
      <c r="G5" s="98">
        <v>-0.0029502308876346844</v>
      </c>
      <c r="H5" s="98">
        <v>0.037694583815772544</v>
      </c>
      <c r="I5" s="98">
        <v>0.14945450037193156</v>
      </c>
      <c r="J5" s="98">
        <v>0.2139351776950871</v>
      </c>
      <c r="K5" s="98">
        <v>-0.05721901377165704</v>
      </c>
      <c r="L5" s="98">
        <v>0.018094430308170765</v>
      </c>
      <c r="M5" s="98">
        <v>0.026057576599092844</v>
      </c>
      <c r="N5" s="98">
        <v>0.09635076007036854</v>
      </c>
      <c r="O5" s="98">
        <v>0.07089076321744497</v>
      </c>
      <c r="P5" s="98">
        <v>0.023935761487628708</v>
      </c>
      <c r="Q5" s="98">
        <v>0.01654722149262692</v>
      </c>
      <c r="R5" s="98">
        <v>0.07153403218662335</v>
      </c>
      <c r="S5" s="98">
        <v>0.12524974164657252</v>
      </c>
      <c r="T5" s="98">
        <v>0.03122512704340905</v>
      </c>
      <c r="U5" s="98">
        <v>0.06536840230362762</v>
      </c>
      <c r="V5" s="98">
        <v>-0.8980439144003567</v>
      </c>
      <c r="W5" s="98">
        <v>-0.04427439191035802</v>
      </c>
      <c r="X5" s="99">
        <v>0.025</v>
      </c>
      <c r="Y5" s="99">
        <v>0.025</v>
      </c>
      <c r="Z5" s="99">
        <v>0.025</v>
      </c>
      <c r="AA5" s="99">
        <v>0.025</v>
      </c>
      <c r="AB5" s="99">
        <v>0.025</v>
      </c>
      <c r="AC5" s="99">
        <v>0.025</v>
      </c>
      <c r="AD5" s="99">
        <v>0.025</v>
      </c>
      <c r="AE5" s="99">
        <v>0.025</v>
      </c>
      <c r="AF5" s="99">
        <v>0.025</v>
      </c>
      <c r="AG5" s="99">
        <v>0.025</v>
      </c>
      <c r="AH5" s="99">
        <v>0.025</v>
      </c>
      <c r="AI5" s="99">
        <v>0.025</v>
      </c>
      <c r="AJ5" s="99">
        <v>0.025</v>
      </c>
      <c r="AK5" s="99">
        <v>0.025</v>
      </c>
      <c r="AL5" s="99">
        <v>0.025</v>
      </c>
      <c r="AM5" s="99">
        <v>0.025</v>
      </c>
      <c r="AN5" s="99">
        <v>0.025</v>
      </c>
      <c r="AO5" s="99">
        <v>0.025</v>
      </c>
      <c r="AP5" s="99">
        <v>0.025</v>
      </c>
      <c r="AQ5" s="99">
        <v>0.025</v>
      </c>
    </row>
    <row r="6" spans="1:43" ht="12">
      <c r="A6" s="95" t="s">
        <v>225</v>
      </c>
      <c r="C6" s="98">
        <v>0.034783002627525594</v>
      </c>
      <c r="D6" s="98">
        <v>-0.24816725457209532</v>
      </c>
      <c r="E6" s="98">
        <v>0.4233683673469388</v>
      </c>
      <c r="F6" s="98">
        <v>0.016299468111062324</v>
      </c>
      <c r="G6" s="98">
        <v>-0.0018100518690753048</v>
      </c>
      <c r="H6" s="98">
        <v>0.07230168696889783</v>
      </c>
      <c r="I6" s="98">
        <v>0.019578563804335827</v>
      </c>
      <c r="J6" s="98">
        <v>0.04288960583532052</v>
      </c>
      <c r="K6" s="98">
        <v>0.03515898251192369</v>
      </c>
      <c r="L6" s="98">
        <v>0.0345664739884393</v>
      </c>
      <c r="M6" s="98">
        <v>0.034211055003529355</v>
      </c>
      <c r="N6" s="98">
        <v>0.024451645064805586</v>
      </c>
      <c r="O6" s="98">
        <v>0.02742575379732487</v>
      </c>
      <c r="P6" s="98">
        <v>0.04239244879493296</v>
      </c>
      <c r="Q6" s="98">
        <v>0.027592384378982086</v>
      </c>
      <c r="R6" s="98">
        <v>0.031685594425233894</v>
      </c>
      <c r="S6" s="98">
        <v>0.02139177790516747</v>
      </c>
      <c r="T6" s="98">
        <v>0.020955533504914886</v>
      </c>
      <c r="U6" s="98">
        <v>0.014510123341866424</v>
      </c>
      <c r="V6" s="98">
        <v>0.15988265292499934</v>
      </c>
      <c r="W6" s="98">
        <v>0.023767499615393074</v>
      </c>
      <c r="X6" s="98">
        <v>0.029875522053580524</v>
      </c>
      <c r="Y6" s="99">
        <v>0.015</v>
      </c>
      <c r="Z6" s="99">
        <v>0.015</v>
      </c>
      <c r="AA6" s="99">
        <v>0.015</v>
      </c>
      <c r="AB6" s="99">
        <v>0.015</v>
      </c>
      <c r="AC6" s="99">
        <v>0.015</v>
      </c>
      <c r="AD6" s="99">
        <v>0.015</v>
      </c>
      <c r="AE6" s="99">
        <v>0.015</v>
      </c>
      <c r="AF6" s="99">
        <v>0.015</v>
      </c>
      <c r="AG6" s="99">
        <v>0.015</v>
      </c>
      <c r="AH6" s="99">
        <v>0.015</v>
      </c>
      <c r="AI6" s="99">
        <v>0.015</v>
      </c>
      <c r="AJ6" s="99">
        <v>0.015</v>
      </c>
      <c r="AK6" s="99">
        <v>0.015</v>
      </c>
      <c r="AL6" s="99">
        <v>0.015</v>
      </c>
      <c r="AM6" s="99">
        <v>0.015</v>
      </c>
      <c r="AN6" s="99">
        <v>0.015</v>
      </c>
      <c r="AO6" s="99">
        <v>0.015</v>
      </c>
      <c r="AP6" s="99">
        <v>0.015</v>
      </c>
      <c r="AQ6" s="99">
        <v>0.015</v>
      </c>
    </row>
    <row r="7" spans="1:43" ht="12">
      <c r="A7" s="95" t="s">
        <v>234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  <c r="X7" s="99">
        <v>0.04</v>
      </c>
      <c r="Y7" s="99">
        <v>0.04</v>
      </c>
      <c r="Z7" s="99">
        <v>0.04</v>
      </c>
      <c r="AA7" s="99">
        <v>0.04</v>
      </c>
      <c r="AB7" s="99">
        <v>0.04</v>
      </c>
      <c r="AC7" s="99">
        <v>0.04</v>
      </c>
      <c r="AD7" s="99">
        <v>0.04</v>
      </c>
      <c r="AE7" s="99">
        <v>0.04</v>
      </c>
      <c r="AF7" s="99">
        <v>0.04</v>
      </c>
      <c r="AG7" s="99">
        <v>0.04</v>
      </c>
      <c r="AH7" s="99">
        <v>0.04</v>
      </c>
      <c r="AI7" s="99">
        <v>0.04</v>
      </c>
      <c r="AJ7" s="99">
        <v>0.04</v>
      </c>
      <c r="AK7" s="99">
        <v>0.04</v>
      </c>
      <c r="AL7" s="99">
        <v>0.04</v>
      </c>
      <c r="AM7" s="99">
        <v>0.04</v>
      </c>
      <c r="AN7" s="99">
        <v>0.04</v>
      </c>
      <c r="AO7" s="99">
        <v>0.04</v>
      </c>
      <c r="AP7" s="99">
        <v>0.04</v>
      </c>
      <c r="AQ7" s="99">
        <v>0.04</v>
      </c>
    </row>
    <row r="8" spans="1:43" ht="12">
      <c r="A8" s="95" t="s">
        <v>209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  <c r="X8" s="99">
        <v>0.025</v>
      </c>
      <c r="Y8" s="99">
        <v>0.025</v>
      </c>
      <c r="Z8" s="99">
        <v>0.025</v>
      </c>
      <c r="AA8" s="99">
        <v>0.025</v>
      </c>
      <c r="AB8" s="99">
        <v>0.025</v>
      </c>
      <c r="AC8" s="99">
        <v>0.025</v>
      </c>
      <c r="AD8" s="99">
        <v>0.025</v>
      </c>
      <c r="AE8" s="99">
        <v>0.025</v>
      </c>
      <c r="AF8" s="99">
        <v>0.025</v>
      </c>
      <c r="AG8" s="99">
        <v>0.025</v>
      </c>
      <c r="AH8" s="99">
        <v>0.025</v>
      </c>
      <c r="AI8" s="99">
        <v>0.025</v>
      </c>
      <c r="AJ8" s="99">
        <v>0.025</v>
      </c>
      <c r="AK8" s="99">
        <v>0.025</v>
      </c>
      <c r="AL8" s="99">
        <v>0.025</v>
      </c>
      <c r="AM8" s="99">
        <v>0.025</v>
      </c>
      <c r="AN8" s="99">
        <v>0.025</v>
      </c>
      <c r="AO8" s="99">
        <v>0.025</v>
      </c>
      <c r="AP8" s="99">
        <v>0.025</v>
      </c>
      <c r="AQ8" s="99">
        <v>0.025</v>
      </c>
    </row>
    <row r="9" spans="1:43" s="106" customFormat="1" ht="12">
      <c r="A9" s="100" t="s">
        <v>156</v>
      </c>
      <c r="B9" s="101" t="s">
        <v>128</v>
      </c>
      <c r="C9" s="101" t="s">
        <v>129</v>
      </c>
      <c r="D9" s="101" t="s">
        <v>130</v>
      </c>
      <c r="E9" s="101" t="s">
        <v>131</v>
      </c>
      <c r="F9" s="100" t="s">
        <v>132</v>
      </c>
      <c r="G9" s="101" t="s">
        <v>126</v>
      </c>
      <c r="H9" s="100" t="s">
        <v>106</v>
      </c>
      <c r="I9" s="102" t="s">
        <v>105</v>
      </c>
      <c r="J9" s="102" t="s">
        <v>107</v>
      </c>
      <c r="K9" s="102" t="s">
        <v>108</v>
      </c>
      <c r="L9" s="102" t="s">
        <v>109</v>
      </c>
      <c r="M9" s="102" t="s">
        <v>110</v>
      </c>
      <c r="N9" s="102" t="s">
        <v>111</v>
      </c>
      <c r="O9" s="103" t="s">
        <v>112</v>
      </c>
      <c r="P9" s="104" t="s">
        <v>113</v>
      </c>
      <c r="Q9" s="104" t="s">
        <v>114</v>
      </c>
      <c r="R9" s="104" t="s">
        <v>117</v>
      </c>
      <c r="S9" s="104" t="s">
        <v>118</v>
      </c>
      <c r="T9" s="102" t="s">
        <v>127</v>
      </c>
      <c r="U9" s="102" t="s">
        <v>145</v>
      </c>
      <c r="V9" s="105" t="s">
        <v>266</v>
      </c>
      <c r="W9" s="103" t="s">
        <v>265</v>
      </c>
      <c r="X9" s="103" t="s">
        <v>267</v>
      </c>
      <c r="Y9" s="101" t="s">
        <v>268</v>
      </c>
      <c r="Z9" s="101" t="s">
        <v>269</v>
      </c>
      <c r="AA9" s="101" t="s">
        <v>270</v>
      </c>
      <c r="AB9" s="101" t="s">
        <v>271</v>
      </c>
      <c r="AC9" s="101" t="s">
        <v>272</v>
      </c>
      <c r="AD9" s="101" t="s">
        <v>273</v>
      </c>
      <c r="AE9" s="101" t="s">
        <v>274</v>
      </c>
      <c r="AF9" s="101" t="s">
        <v>275</v>
      </c>
      <c r="AG9" s="101" t="s">
        <v>276</v>
      </c>
      <c r="AH9" s="101" t="s">
        <v>277</v>
      </c>
      <c r="AI9" s="101" t="s">
        <v>278</v>
      </c>
      <c r="AJ9" s="101" t="s">
        <v>279</v>
      </c>
      <c r="AK9" s="101" t="s">
        <v>280</v>
      </c>
      <c r="AL9" s="101" t="s">
        <v>281</v>
      </c>
      <c r="AM9" s="101" t="s">
        <v>282</v>
      </c>
      <c r="AN9" s="101" t="s">
        <v>283</v>
      </c>
      <c r="AO9" s="101" t="s">
        <v>284</v>
      </c>
      <c r="AP9" s="101" t="s">
        <v>285</v>
      </c>
      <c r="AQ9" s="101" t="s">
        <v>303</v>
      </c>
    </row>
    <row r="10" spans="1:43" s="106" customFormat="1" ht="12">
      <c r="A10" s="10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2"/>
      <c r="O10" s="102"/>
      <c r="P10" s="104"/>
      <c r="Q10" s="104"/>
      <c r="R10" s="104"/>
      <c r="S10" s="104"/>
      <c r="T10" s="104"/>
      <c r="U10" s="104"/>
      <c r="V10" s="108"/>
      <c r="W10" s="108" t="s">
        <v>167</v>
      </c>
      <c r="X10" s="108" t="s">
        <v>171</v>
      </c>
      <c r="Y10" s="108" t="s">
        <v>172</v>
      </c>
      <c r="Z10" s="108" t="s">
        <v>173</v>
      </c>
      <c r="AA10" s="108" t="s">
        <v>174</v>
      </c>
      <c r="AB10" s="108" t="s">
        <v>175</v>
      </c>
      <c r="AC10" s="108" t="s">
        <v>176</v>
      </c>
      <c r="AD10" s="108" t="s">
        <v>0</v>
      </c>
      <c r="AE10" s="108" t="s">
        <v>1</v>
      </c>
      <c r="AF10" s="108" t="s">
        <v>2</v>
      </c>
      <c r="AG10" s="108" t="s">
        <v>3</v>
      </c>
      <c r="AH10" s="108" t="s">
        <v>4</v>
      </c>
      <c r="AI10" s="108" t="s">
        <v>5</v>
      </c>
      <c r="AJ10" s="108" t="s">
        <v>6</v>
      </c>
      <c r="AK10" s="108" t="s">
        <v>7</v>
      </c>
      <c r="AL10" s="108" t="s">
        <v>8</v>
      </c>
      <c r="AM10" s="108" t="s">
        <v>226</v>
      </c>
      <c r="AN10" s="108" t="s">
        <v>227</v>
      </c>
      <c r="AO10" s="108" t="s">
        <v>228</v>
      </c>
      <c r="AP10" s="108" t="s">
        <v>229</v>
      </c>
      <c r="AQ10" s="108" t="s">
        <v>230</v>
      </c>
    </row>
    <row r="11" spans="1:43" s="106" customFormat="1" ht="12">
      <c r="A11" s="107"/>
      <c r="B11" s="100" t="s">
        <v>20</v>
      </c>
      <c r="C11" s="100" t="s">
        <v>20</v>
      </c>
      <c r="D11" s="100" t="s">
        <v>20</v>
      </c>
      <c r="E11" s="100" t="s">
        <v>20</v>
      </c>
      <c r="F11" s="100" t="s">
        <v>20</v>
      </c>
      <c r="G11" s="100" t="s">
        <v>20</v>
      </c>
      <c r="H11" s="100" t="s">
        <v>20</v>
      </c>
      <c r="I11" s="109" t="s">
        <v>20</v>
      </c>
      <c r="J11" s="109" t="s">
        <v>20</v>
      </c>
      <c r="K11" s="109" t="s">
        <v>20</v>
      </c>
      <c r="L11" s="109" t="s">
        <v>20</v>
      </c>
      <c r="M11" s="109" t="s">
        <v>20</v>
      </c>
      <c r="N11" s="109" t="s">
        <v>20</v>
      </c>
      <c r="O11" s="109" t="s">
        <v>20</v>
      </c>
      <c r="P11" s="110" t="s">
        <v>20</v>
      </c>
      <c r="Q11" s="110" t="s">
        <v>20</v>
      </c>
      <c r="R11" s="110" t="s">
        <v>20</v>
      </c>
      <c r="S11" s="110" t="s">
        <v>20</v>
      </c>
      <c r="T11" s="110" t="s">
        <v>20</v>
      </c>
      <c r="U11" s="110" t="s">
        <v>20</v>
      </c>
      <c r="V11" s="109" t="s">
        <v>20</v>
      </c>
      <c r="W11" s="109" t="s">
        <v>20</v>
      </c>
      <c r="X11" s="109" t="s">
        <v>20</v>
      </c>
      <c r="Y11" s="109" t="s">
        <v>20</v>
      </c>
      <c r="Z11" s="109" t="s">
        <v>20</v>
      </c>
      <c r="AA11" s="100" t="s">
        <v>20</v>
      </c>
      <c r="AB11" s="100" t="s">
        <v>20</v>
      </c>
      <c r="AC11" s="100" t="s">
        <v>20</v>
      </c>
      <c r="AD11" s="100" t="s">
        <v>20</v>
      </c>
      <c r="AE11" s="100" t="s">
        <v>20</v>
      </c>
      <c r="AF11" s="100" t="s">
        <v>20</v>
      </c>
      <c r="AG11" s="100" t="s">
        <v>20</v>
      </c>
      <c r="AH11" s="100" t="s">
        <v>20</v>
      </c>
      <c r="AI11" s="100" t="s">
        <v>20</v>
      </c>
      <c r="AJ11" s="100" t="s">
        <v>20</v>
      </c>
      <c r="AK11" s="100" t="s">
        <v>20</v>
      </c>
      <c r="AL11" s="100" t="s">
        <v>20</v>
      </c>
      <c r="AM11" s="100" t="s">
        <v>20</v>
      </c>
      <c r="AN11" s="100" t="s">
        <v>20</v>
      </c>
      <c r="AO11" s="100" t="s">
        <v>20</v>
      </c>
      <c r="AP11" s="100" t="s">
        <v>20</v>
      </c>
      <c r="AQ11" s="100" t="s">
        <v>20</v>
      </c>
    </row>
    <row r="12" spans="1:43" ht="12">
      <c r="A12" s="111" t="s">
        <v>21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2"/>
      <c r="W12" s="114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</row>
    <row r="13" spans="1:43" ht="12">
      <c r="A13" s="115" t="s">
        <v>22</v>
      </c>
      <c r="B13" s="116">
        <v>22074</v>
      </c>
      <c r="C13" s="116">
        <v>18427</v>
      </c>
      <c r="D13" s="116">
        <v>14112</v>
      </c>
      <c r="E13" s="116">
        <v>20493</v>
      </c>
      <c r="F13" s="116">
        <v>22364</v>
      </c>
      <c r="G13" s="116">
        <v>23889</v>
      </c>
      <c r="H13" s="116">
        <v>27169</v>
      </c>
      <c r="I13" s="116">
        <v>28516</v>
      </c>
      <c r="J13" s="116">
        <v>31450</v>
      </c>
      <c r="K13" s="116">
        <v>34600</v>
      </c>
      <c r="L13" s="116">
        <v>36834</v>
      </c>
      <c r="M13" s="116">
        <v>40120</v>
      </c>
      <c r="N13" s="116">
        <v>44110</v>
      </c>
      <c r="O13" s="116">
        <v>48628</v>
      </c>
      <c r="P13" s="116">
        <v>53364</v>
      </c>
      <c r="Q13" s="117">
        <v>56971</v>
      </c>
      <c r="R13" s="117">
        <v>61055</v>
      </c>
      <c r="S13" s="117">
        <v>64498</v>
      </c>
      <c r="T13" s="117">
        <v>68752</v>
      </c>
      <c r="U13" s="117">
        <v>74906</v>
      </c>
      <c r="V13" s="117">
        <v>91002</v>
      </c>
      <c r="W13" s="118">
        <v>98170</v>
      </c>
      <c r="X13" s="117">
        <v>104637</v>
      </c>
      <c r="Y13" s="117">
        <v>109973.487</v>
      </c>
      <c r="Z13" s="117">
        <v>115582.13483699999</v>
      </c>
      <c r="AA13" s="117">
        <v>121476.82371368699</v>
      </c>
      <c r="AB13" s="117">
        <v>127672.14172308502</v>
      </c>
      <c r="AC13" s="117">
        <v>134183.42095096235</v>
      </c>
      <c r="AD13" s="117">
        <v>141026.77541946142</v>
      </c>
      <c r="AE13" s="117">
        <v>148219.14096585393</v>
      </c>
      <c r="AF13" s="117">
        <v>155778.31715511248</v>
      </c>
      <c r="AG13" s="117">
        <v>163723.0113300232</v>
      </c>
      <c r="AH13" s="117">
        <v>172072.88490785437</v>
      </c>
      <c r="AI13" s="117">
        <v>180848.60203815493</v>
      </c>
      <c r="AJ13" s="117">
        <v>190071.88074210082</v>
      </c>
      <c r="AK13" s="117">
        <v>199765.54665994796</v>
      </c>
      <c r="AL13" s="117">
        <v>209953.58953960528</v>
      </c>
      <c r="AM13" s="117">
        <v>220661.22260612514</v>
      </c>
      <c r="AN13" s="117">
        <v>231914.9449590375</v>
      </c>
      <c r="AO13" s="117">
        <v>243742.6071519484</v>
      </c>
      <c r="AP13" s="119">
        <v>256173.48011669776</v>
      </c>
      <c r="AQ13" s="119">
        <v>269238.32760264934</v>
      </c>
    </row>
    <row r="14" spans="1:43" ht="12">
      <c r="A14" s="120" t="s">
        <v>250</v>
      </c>
      <c r="B14" s="112">
        <v>11137</v>
      </c>
      <c r="C14" s="112">
        <v>13850</v>
      </c>
      <c r="D14" s="112">
        <v>12737</v>
      </c>
      <c r="E14" s="112">
        <v>14053</v>
      </c>
      <c r="F14" s="112">
        <v>15592</v>
      </c>
      <c r="G14" s="112">
        <v>15546</v>
      </c>
      <c r="H14" s="112">
        <v>16132</v>
      </c>
      <c r="I14" s="112">
        <v>18543</v>
      </c>
      <c r="J14" s="112">
        <v>22510</v>
      </c>
      <c r="K14" s="112">
        <v>21222</v>
      </c>
      <c r="L14" s="112">
        <v>21606</v>
      </c>
      <c r="M14" s="112">
        <v>22169</v>
      </c>
      <c r="N14" s="112">
        <v>24305</v>
      </c>
      <c r="O14" s="112">
        <v>26028</v>
      </c>
      <c r="P14" s="112">
        <v>26651</v>
      </c>
      <c r="Q14" s="117">
        <v>27092</v>
      </c>
      <c r="R14" s="117">
        <v>29030</v>
      </c>
      <c r="S14" s="117">
        <v>32666</v>
      </c>
      <c r="T14" s="117">
        <v>33686</v>
      </c>
      <c r="U14" s="117">
        <v>35888</v>
      </c>
      <c r="V14" s="117">
        <v>3659</v>
      </c>
      <c r="W14" s="118">
        <v>3497</v>
      </c>
      <c r="X14" s="117">
        <v>3518</v>
      </c>
      <c r="Y14" s="112">
        <v>3553.18</v>
      </c>
      <c r="Z14" s="112">
        <v>3588.7118</v>
      </c>
      <c r="AA14" s="112">
        <v>3624.598918</v>
      </c>
      <c r="AB14" s="112">
        <v>3660.84490718</v>
      </c>
      <c r="AC14" s="112">
        <v>3697.4533562518</v>
      </c>
      <c r="AD14" s="112">
        <v>3734.427889814318</v>
      </c>
      <c r="AE14" s="112">
        <v>3771.7721687124613</v>
      </c>
      <c r="AF14" s="112">
        <v>3809.489890399586</v>
      </c>
      <c r="AG14" s="112">
        <v>3847.5847893035816</v>
      </c>
      <c r="AH14" s="112">
        <v>3886.0606371966173</v>
      </c>
      <c r="AI14" s="112">
        <v>3924.9212435685836</v>
      </c>
      <c r="AJ14" s="112">
        <v>3964.1704560042695</v>
      </c>
      <c r="AK14" s="112">
        <v>4003.8121605643123</v>
      </c>
      <c r="AL14" s="112">
        <v>4043.8502821699553</v>
      </c>
      <c r="AM14" s="112">
        <v>4084.288784991655</v>
      </c>
      <c r="AN14" s="112">
        <v>4125.131672841571</v>
      </c>
      <c r="AO14" s="112">
        <v>4166.382989569987</v>
      </c>
      <c r="AP14" s="112">
        <v>4208.046819465687</v>
      </c>
      <c r="AQ14" s="112">
        <v>4250.127287660343</v>
      </c>
    </row>
    <row r="15" spans="1:43" ht="12">
      <c r="A15" s="120" t="s">
        <v>251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7"/>
      <c r="R15" s="117"/>
      <c r="S15" s="117"/>
      <c r="T15" s="117"/>
      <c r="U15" s="117"/>
      <c r="V15" s="117">
        <v>24168</v>
      </c>
      <c r="W15" s="118">
        <v>25218</v>
      </c>
      <c r="X15" s="117">
        <v>25046</v>
      </c>
      <c r="Y15" s="112">
        <v>25421.69</v>
      </c>
      <c r="Z15" s="112">
        <v>25803.015349999998</v>
      </c>
      <c r="AA15" s="112">
        <v>26190.060580249996</v>
      </c>
      <c r="AB15" s="112">
        <v>26582.911488953745</v>
      </c>
      <c r="AC15" s="112">
        <v>26981.65516128805</v>
      </c>
      <c r="AD15" s="112">
        <v>27386.37998870737</v>
      </c>
      <c r="AE15" s="112">
        <v>27797.175688537976</v>
      </c>
      <c r="AF15" s="112">
        <v>28214.133323866045</v>
      </c>
      <c r="AG15" s="112">
        <v>28637.345323724032</v>
      </c>
      <c r="AH15" s="112">
        <v>29066.90550357989</v>
      </c>
      <c r="AI15" s="112">
        <v>29502.909086133583</v>
      </c>
      <c r="AJ15" s="112">
        <v>29945.452722425583</v>
      </c>
      <c r="AK15" s="112">
        <v>30394.634513261964</v>
      </c>
      <c r="AL15" s="112">
        <v>30850.55403096089</v>
      </c>
      <c r="AM15" s="112">
        <v>31313.312341425302</v>
      </c>
      <c r="AN15" s="112">
        <v>31783.01202654668</v>
      </c>
      <c r="AO15" s="112">
        <v>32259.757206944876</v>
      </c>
      <c r="AP15" s="112">
        <v>32743.653565049048</v>
      </c>
      <c r="AQ15" s="112">
        <v>33234.808368524784</v>
      </c>
    </row>
    <row r="16" spans="1:43" ht="12">
      <c r="A16" s="120" t="s">
        <v>252</v>
      </c>
      <c r="B16" s="112">
        <v>10213</v>
      </c>
      <c r="C16" s="112">
        <v>13888</v>
      </c>
      <c r="D16" s="112">
        <v>13623</v>
      </c>
      <c r="E16" s="112">
        <v>14336</v>
      </c>
      <c r="F16" s="112">
        <v>13465</v>
      </c>
      <c r="G16" s="112">
        <v>13456</v>
      </c>
      <c r="H16" s="112">
        <v>16851</v>
      </c>
      <c r="I16" s="112">
        <v>17271</v>
      </c>
      <c r="J16" s="112">
        <v>15764</v>
      </c>
      <c r="K16" s="112">
        <v>13661</v>
      </c>
      <c r="L16" s="112">
        <v>16467</v>
      </c>
      <c r="M16" s="112">
        <v>15852</v>
      </c>
      <c r="N16" s="112">
        <v>17927</v>
      </c>
      <c r="O16" s="112">
        <v>20103</v>
      </c>
      <c r="P16" s="112">
        <v>20749</v>
      </c>
      <c r="Q16" s="117">
        <v>20253</v>
      </c>
      <c r="R16" s="117">
        <v>22332</v>
      </c>
      <c r="S16" s="117">
        <v>26734</v>
      </c>
      <c r="T16" s="117">
        <v>22601</v>
      </c>
      <c r="U16" s="117">
        <v>18020</v>
      </c>
      <c r="V16" s="117">
        <v>30686</v>
      </c>
      <c r="W16" s="118">
        <v>18296</v>
      </c>
      <c r="X16" s="117">
        <v>23730</v>
      </c>
      <c r="Y16" s="112">
        <v>24323.249999999996</v>
      </c>
      <c r="Z16" s="112">
        <v>24931.331249999996</v>
      </c>
      <c r="AA16" s="112">
        <v>25554.614531249994</v>
      </c>
      <c r="AB16" s="112">
        <v>26193.479894531243</v>
      </c>
      <c r="AC16" s="112">
        <v>26848.316891894523</v>
      </c>
      <c r="AD16" s="112">
        <v>27519.524814191882</v>
      </c>
      <c r="AE16" s="112">
        <v>28207.512934546678</v>
      </c>
      <c r="AF16" s="112">
        <v>28912.70075791034</v>
      </c>
      <c r="AG16" s="112">
        <v>29635.518276858096</v>
      </c>
      <c r="AH16" s="112">
        <v>30376.406233779548</v>
      </c>
      <c r="AI16" s="112">
        <v>31135.816389624033</v>
      </c>
      <c r="AJ16" s="112">
        <v>31914.21179936463</v>
      </c>
      <c r="AK16" s="112">
        <v>32712.067094348746</v>
      </c>
      <c r="AL16" s="112">
        <v>33529.868771707464</v>
      </c>
      <c r="AM16" s="112">
        <v>34368.11549100015</v>
      </c>
      <c r="AN16" s="112">
        <v>35227.31837827515</v>
      </c>
      <c r="AO16" s="112">
        <v>36108.00133773203</v>
      </c>
      <c r="AP16" s="112">
        <v>37010.701371175324</v>
      </c>
      <c r="AQ16" s="112">
        <v>37935.968905454705</v>
      </c>
    </row>
    <row r="17" spans="1:43" ht="12">
      <c r="A17" s="120" t="s">
        <v>253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2025</v>
      </c>
      <c r="H17" s="112">
        <v>2826</v>
      </c>
      <c r="I17" s="112">
        <v>3503</v>
      </c>
      <c r="J17" s="112">
        <v>3201</v>
      </c>
      <c r="K17" s="112">
        <v>3385</v>
      </c>
      <c r="L17" s="112">
        <v>4219</v>
      </c>
      <c r="M17" s="112">
        <v>3610</v>
      </c>
      <c r="N17" s="112">
        <v>1796</v>
      </c>
      <c r="O17" s="112">
        <v>3678</v>
      </c>
      <c r="P17" s="112">
        <v>8795</v>
      </c>
      <c r="Q17" s="117">
        <v>9020</v>
      </c>
      <c r="R17" s="117">
        <v>8378</v>
      </c>
      <c r="S17" s="117">
        <v>10245</v>
      </c>
      <c r="T17" s="117">
        <v>16774</v>
      </c>
      <c r="U17" s="117">
        <v>9161</v>
      </c>
      <c r="V17" s="117">
        <v>3229</v>
      </c>
      <c r="W17" s="118">
        <v>35033</v>
      </c>
      <c r="X17" s="117">
        <v>2000</v>
      </c>
      <c r="Y17" s="117">
        <v>2050</v>
      </c>
      <c r="Z17" s="117">
        <v>2101</v>
      </c>
      <c r="AA17" s="117">
        <v>2154</v>
      </c>
      <c r="AB17" s="117">
        <v>2208</v>
      </c>
      <c r="AC17" s="117">
        <v>2263</v>
      </c>
      <c r="AD17" s="117">
        <v>2319</v>
      </c>
      <c r="AE17" s="117">
        <v>2377</v>
      </c>
      <c r="AF17" s="117">
        <v>2437</v>
      </c>
      <c r="AG17" s="117">
        <v>2498</v>
      </c>
      <c r="AH17" s="117">
        <v>2560</v>
      </c>
      <c r="AI17" s="117">
        <v>2624</v>
      </c>
      <c r="AJ17" s="117">
        <v>2690</v>
      </c>
      <c r="AK17" s="117">
        <v>2757</v>
      </c>
      <c r="AL17" s="117">
        <v>2826</v>
      </c>
      <c r="AM17" s="117">
        <v>2897</v>
      </c>
      <c r="AN17" s="117">
        <v>2969</v>
      </c>
      <c r="AO17" s="117">
        <v>3043</v>
      </c>
      <c r="AP17" s="117">
        <v>3119</v>
      </c>
      <c r="AQ17" s="117">
        <v>3197</v>
      </c>
    </row>
    <row r="18" spans="1:43" ht="12">
      <c r="A18" s="120" t="s">
        <v>254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7"/>
      <c r="R18" s="117">
        <v>286</v>
      </c>
      <c r="S18" s="117">
        <v>564</v>
      </c>
      <c r="T18" s="117">
        <v>1837</v>
      </c>
      <c r="U18" s="117">
        <v>1138</v>
      </c>
      <c r="V18" s="117">
        <v>1850</v>
      </c>
      <c r="W18" s="118">
        <v>1100</v>
      </c>
      <c r="X18" s="117">
        <v>2182</v>
      </c>
      <c r="Y18" s="112">
        <v>4095</v>
      </c>
      <c r="Z18" s="112">
        <v>6632</v>
      </c>
      <c r="AA18" s="112">
        <v>8558</v>
      </c>
      <c r="AB18" s="112">
        <v>8586</v>
      </c>
      <c r="AC18" s="112">
        <v>7476</v>
      </c>
      <c r="AD18" s="112">
        <v>8353</v>
      </c>
      <c r="AE18" s="112">
        <v>9511</v>
      </c>
      <c r="AF18" s="112">
        <v>10055</v>
      </c>
      <c r="AG18" s="112">
        <v>6880</v>
      </c>
      <c r="AH18" s="112">
        <v>8618</v>
      </c>
      <c r="AI18" s="112">
        <v>5980</v>
      </c>
      <c r="AJ18" s="112">
        <v>5857</v>
      </c>
      <c r="AK18" s="112">
        <v>3264</v>
      </c>
      <c r="AL18" s="112">
        <v>1082</v>
      </c>
      <c r="AM18" s="112">
        <v>1492</v>
      </c>
      <c r="AN18" s="112">
        <v>1469</v>
      </c>
      <c r="AO18" s="112">
        <v>1469</v>
      </c>
      <c r="AP18" s="112">
        <v>1549</v>
      </c>
      <c r="AQ18" s="112">
        <v>70948</v>
      </c>
    </row>
    <row r="19" spans="1:43" ht="12">
      <c r="A19" s="120" t="s">
        <v>255</v>
      </c>
      <c r="B19" s="112"/>
      <c r="C19" s="112"/>
      <c r="D19" s="112"/>
      <c r="E19" s="112"/>
      <c r="F19" s="112"/>
      <c r="G19" s="112">
        <v>2857</v>
      </c>
      <c r="H19" s="112">
        <v>4625</v>
      </c>
      <c r="I19" s="112">
        <v>5253</v>
      </c>
      <c r="J19" s="112">
        <v>7140</v>
      </c>
      <c r="K19" s="112">
        <v>21675</v>
      </c>
      <c r="L19" s="112">
        <v>10269</v>
      </c>
      <c r="M19" s="112">
        <v>5358</v>
      </c>
      <c r="N19" s="112">
        <v>7816</v>
      </c>
      <c r="O19" s="112">
        <v>7305</v>
      </c>
      <c r="P19" s="112">
        <v>7500</v>
      </c>
      <c r="Q19" s="112">
        <v>13208</v>
      </c>
      <c r="R19" s="117">
        <v>10457</v>
      </c>
      <c r="S19" s="117">
        <v>11383</v>
      </c>
      <c r="T19" s="117">
        <v>13522</v>
      </c>
      <c r="U19" s="117">
        <v>15736</v>
      </c>
      <c r="V19" s="117">
        <v>24130</v>
      </c>
      <c r="W19" s="118">
        <v>13359</v>
      </c>
      <c r="X19" s="117">
        <v>20572</v>
      </c>
      <c r="Y19" s="117">
        <v>20553</v>
      </c>
      <c r="Z19" s="117">
        <v>17958</v>
      </c>
      <c r="AA19" s="117">
        <v>15953</v>
      </c>
      <c r="AB19" s="117">
        <v>17247</v>
      </c>
      <c r="AC19" s="117">
        <v>19615</v>
      </c>
      <c r="AD19" s="117">
        <v>18642</v>
      </c>
      <c r="AE19" s="117">
        <v>20274</v>
      </c>
      <c r="AF19" s="117">
        <v>16511</v>
      </c>
      <c r="AG19" s="117">
        <v>16891</v>
      </c>
      <c r="AH19" s="117">
        <v>15230</v>
      </c>
      <c r="AI19" s="117">
        <v>20799</v>
      </c>
      <c r="AJ19" s="117">
        <v>16001</v>
      </c>
      <c r="AK19" s="117">
        <v>16401</v>
      </c>
      <c r="AL19" s="117">
        <v>16811</v>
      </c>
      <c r="AM19" s="117">
        <v>17231</v>
      </c>
      <c r="AN19" s="117">
        <v>17662</v>
      </c>
      <c r="AO19" s="117">
        <v>18104</v>
      </c>
      <c r="AP19" s="117">
        <v>18557</v>
      </c>
      <c r="AQ19" s="117">
        <v>19021</v>
      </c>
    </row>
    <row r="20" spans="1:43" ht="12">
      <c r="A20" s="120" t="s">
        <v>23</v>
      </c>
      <c r="B20" s="112">
        <v>334</v>
      </c>
      <c r="C20" s="112">
        <v>0</v>
      </c>
      <c r="D20" s="112">
        <v>22</v>
      </c>
      <c r="E20" s="112">
        <v>1354</v>
      </c>
      <c r="F20" s="112">
        <v>3242</v>
      </c>
      <c r="G20" s="112">
        <v>999</v>
      </c>
      <c r="H20" s="112">
        <v>2345</v>
      </c>
      <c r="I20" s="112">
        <v>1962</v>
      </c>
      <c r="J20" s="112">
        <v>2351</v>
      </c>
      <c r="K20" s="112">
        <v>2177</v>
      </c>
      <c r="L20" s="112">
        <v>2119</v>
      </c>
      <c r="M20" s="112">
        <v>227</v>
      </c>
      <c r="N20" s="112">
        <v>76</v>
      </c>
      <c r="O20" s="112">
        <v>39</v>
      </c>
      <c r="P20" s="112">
        <v>155</v>
      </c>
      <c r="Q20" s="117">
        <v>117</v>
      </c>
      <c r="R20" s="117">
        <v>405</v>
      </c>
      <c r="S20" s="117">
        <v>1105</v>
      </c>
      <c r="T20" s="117">
        <v>1952</v>
      </c>
      <c r="U20" s="117">
        <v>1076</v>
      </c>
      <c r="V20" s="117">
        <v>0</v>
      </c>
      <c r="W20" s="118">
        <v>0</v>
      </c>
      <c r="X20" s="117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</row>
    <row r="21" spans="1:43" ht="12">
      <c r="A21" s="120" t="s">
        <v>256</v>
      </c>
      <c r="B21" s="112">
        <v>675</v>
      </c>
      <c r="C21" s="112">
        <v>1396</v>
      </c>
      <c r="D21" s="112">
        <v>1176</v>
      </c>
      <c r="E21" s="112">
        <v>1505</v>
      </c>
      <c r="F21" s="112">
        <v>933</v>
      </c>
      <c r="G21" s="112">
        <v>780</v>
      </c>
      <c r="H21" s="112">
        <v>986</v>
      </c>
      <c r="I21" s="112">
        <v>888</v>
      </c>
      <c r="J21" s="112">
        <v>998</v>
      </c>
      <c r="K21" s="112">
        <v>1159</v>
      </c>
      <c r="L21" s="112">
        <v>1312</v>
      </c>
      <c r="M21" s="112">
        <v>1117</v>
      </c>
      <c r="N21" s="112">
        <v>1437</v>
      </c>
      <c r="O21" s="112">
        <v>2243</v>
      </c>
      <c r="P21" s="112">
        <v>1691</v>
      </c>
      <c r="Q21" s="117">
        <v>1909</v>
      </c>
      <c r="R21" s="117">
        <v>2446</v>
      </c>
      <c r="S21" s="117">
        <v>2517</v>
      </c>
      <c r="T21" s="117">
        <v>1345</v>
      </c>
      <c r="U21" s="117">
        <v>1610</v>
      </c>
      <c r="V21" s="117">
        <v>0</v>
      </c>
      <c r="W21" s="118">
        <v>0</v>
      </c>
      <c r="X21" s="117">
        <v>0</v>
      </c>
      <c r="Y21" s="112">
        <v>0</v>
      </c>
      <c r="Z21" s="112">
        <v>1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</row>
    <row r="22" spans="1:43" ht="12">
      <c r="A22" s="120" t="s">
        <v>257</v>
      </c>
      <c r="B22" s="112">
        <v>1671</v>
      </c>
      <c r="C22" s="112">
        <v>614</v>
      </c>
      <c r="D22" s="112">
        <v>1009</v>
      </c>
      <c r="E22" s="112">
        <v>4503</v>
      </c>
      <c r="F22" s="112">
        <v>3497</v>
      </c>
      <c r="G22" s="112">
        <v>532</v>
      </c>
      <c r="H22" s="112">
        <v>1577</v>
      </c>
      <c r="I22" s="112">
        <v>2589</v>
      </c>
      <c r="J22" s="112">
        <v>2515</v>
      </c>
      <c r="K22" s="112">
        <v>3320</v>
      </c>
      <c r="L22" s="112">
        <v>2700</v>
      </c>
      <c r="M22" s="112">
        <v>2145</v>
      </c>
      <c r="N22" s="112">
        <v>2041</v>
      </c>
      <c r="O22" s="112">
        <v>2067</v>
      </c>
      <c r="P22" s="112">
        <v>6365</v>
      </c>
      <c r="Q22" s="117">
        <v>1509</v>
      </c>
      <c r="R22" s="117">
        <v>622</v>
      </c>
      <c r="S22" s="117">
        <v>0</v>
      </c>
      <c r="T22" s="117">
        <v>0</v>
      </c>
      <c r="U22" s="117">
        <v>0</v>
      </c>
      <c r="V22" s="117">
        <v>8176</v>
      </c>
      <c r="W22" s="118">
        <v>2777</v>
      </c>
      <c r="X22" s="117">
        <v>2323</v>
      </c>
      <c r="Y22" s="112">
        <v>2381.075</v>
      </c>
      <c r="Z22" s="112">
        <v>2440.6018749999994</v>
      </c>
      <c r="AA22" s="112">
        <v>2501.616921874999</v>
      </c>
      <c r="AB22" s="112">
        <v>2564.157344921874</v>
      </c>
      <c r="AC22" s="112">
        <v>2628.2612785449205</v>
      </c>
      <c r="AD22" s="112">
        <v>2693.967810508543</v>
      </c>
      <c r="AE22" s="112">
        <v>2761.3170057712564</v>
      </c>
      <c r="AF22" s="112">
        <v>2830.3499309155377</v>
      </c>
      <c r="AG22" s="112">
        <v>2901.108679188426</v>
      </c>
      <c r="AH22" s="112">
        <v>2973.6363961681363</v>
      </c>
      <c r="AI22" s="112">
        <v>3047.9773060723396</v>
      </c>
      <c r="AJ22" s="112">
        <v>3124.176738724148</v>
      </c>
      <c r="AK22" s="112">
        <v>3202.2811571922516</v>
      </c>
      <c r="AL22" s="112">
        <v>3282.338186122058</v>
      </c>
      <c r="AM22" s="112">
        <v>3364.396640775109</v>
      </c>
      <c r="AN22" s="112">
        <v>3448.5065567944866</v>
      </c>
      <c r="AO22" s="112">
        <v>3534.7192207143485</v>
      </c>
      <c r="AP22" s="112">
        <v>3623.087201232207</v>
      </c>
      <c r="AQ22" s="112">
        <v>3713.664381263012</v>
      </c>
    </row>
    <row r="23" spans="1:43" ht="12">
      <c r="A23" s="120" t="s">
        <v>125</v>
      </c>
      <c r="B23" s="112"/>
      <c r="C23" s="112"/>
      <c r="D23" s="112"/>
      <c r="E23" s="112"/>
      <c r="F23" s="112"/>
      <c r="G23" s="112">
        <v>190</v>
      </c>
      <c r="H23" s="112">
        <v>1704</v>
      </c>
      <c r="I23" s="112">
        <v>1979</v>
      </c>
      <c r="J23" s="112">
        <v>2693</v>
      </c>
      <c r="K23" s="112">
        <v>4250</v>
      </c>
      <c r="L23" s="112">
        <v>4611</v>
      </c>
      <c r="M23" s="112">
        <v>5488</v>
      </c>
      <c r="N23" s="112">
        <v>4479</v>
      </c>
      <c r="O23" s="112">
        <v>5786</v>
      </c>
      <c r="P23" s="112">
        <v>5134</v>
      </c>
      <c r="Q23" s="117">
        <v>5159</v>
      </c>
      <c r="R23" s="117">
        <v>4838</v>
      </c>
      <c r="S23" s="117">
        <v>4294</v>
      </c>
      <c r="T23" s="117">
        <v>4391</v>
      </c>
      <c r="U23" s="117">
        <v>4278</v>
      </c>
      <c r="V23" s="117">
        <v>4653</v>
      </c>
      <c r="W23" s="114">
        <v>5129</v>
      </c>
      <c r="X23" s="117">
        <v>5508</v>
      </c>
      <c r="Y23" s="112">
        <v>5645.7</v>
      </c>
      <c r="Z23" s="112">
        <v>5786.8425</v>
      </c>
      <c r="AA23" s="112">
        <v>5931.513562499999</v>
      </c>
      <c r="AB23" s="112">
        <v>6079.8014015624985</v>
      </c>
      <c r="AC23" s="112">
        <v>6231.79643660156</v>
      </c>
      <c r="AD23" s="112">
        <v>6387.591347516599</v>
      </c>
      <c r="AE23" s="112">
        <v>6547.281131204513</v>
      </c>
      <c r="AF23" s="112">
        <v>6710.963159484625</v>
      </c>
      <c r="AG23" s="112">
        <v>6878.73723847174</v>
      </c>
      <c r="AH23" s="112">
        <v>7050.705669433533</v>
      </c>
      <c r="AI23" s="112">
        <v>7226.973311169371</v>
      </c>
      <c r="AJ23" s="112">
        <v>7407.647643948605</v>
      </c>
      <c r="AK23" s="112">
        <v>7592.83883504732</v>
      </c>
      <c r="AL23" s="112">
        <v>7782.659805923502</v>
      </c>
      <c r="AM23" s="112">
        <v>7977.226301071589</v>
      </c>
      <c r="AN23" s="112">
        <v>8176.656958598378</v>
      </c>
      <c r="AO23" s="112">
        <v>8381.073382563336</v>
      </c>
      <c r="AP23" s="112">
        <v>8590.60021712742</v>
      </c>
      <c r="AQ23" s="112">
        <v>8805.365222555603</v>
      </c>
    </row>
    <row r="24" spans="1:43" ht="12">
      <c r="A24" s="120" t="s">
        <v>215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>
        <v>301</v>
      </c>
      <c r="Q24" s="117">
        <v>0</v>
      </c>
      <c r="R24" s="117">
        <v>38</v>
      </c>
      <c r="S24" s="117">
        <v>0</v>
      </c>
      <c r="T24" s="117">
        <v>0</v>
      </c>
      <c r="U24" s="117"/>
      <c r="V24" s="117">
        <v>938</v>
      </c>
      <c r="W24" s="114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</row>
    <row r="25" spans="1:43" ht="12">
      <c r="A25" s="120" t="s">
        <v>80</v>
      </c>
      <c r="B25" s="112">
        <v>1840</v>
      </c>
      <c r="C25" s="112">
        <v>4501</v>
      </c>
      <c r="D25" s="112">
        <v>1442</v>
      </c>
      <c r="E25" s="112">
        <v>1611</v>
      </c>
      <c r="F25" s="112">
        <v>2822</v>
      </c>
      <c r="G25" s="112">
        <v>1165</v>
      </c>
      <c r="H25" s="112">
        <v>3332</v>
      </c>
      <c r="I25" s="112">
        <v>1955</v>
      </c>
      <c r="J25" s="112">
        <v>2019</v>
      </c>
      <c r="K25" s="112">
        <v>1140</v>
      </c>
      <c r="L25" s="112">
        <v>1330</v>
      </c>
      <c r="M25" s="112">
        <v>1982</v>
      </c>
      <c r="N25" s="112">
        <v>2516</v>
      </c>
      <c r="O25" s="112">
        <v>2099</v>
      </c>
      <c r="P25" s="112">
        <v>1034</v>
      </c>
      <c r="Q25" s="117">
        <v>1048</v>
      </c>
      <c r="R25" s="117">
        <v>324</v>
      </c>
      <c r="S25" s="117">
        <v>567</v>
      </c>
      <c r="T25" s="117">
        <v>440</v>
      </c>
      <c r="U25" s="117">
        <v>450</v>
      </c>
      <c r="V25" s="117">
        <v>308</v>
      </c>
      <c r="W25" s="118">
        <v>735</v>
      </c>
      <c r="X25" s="117">
        <v>384</v>
      </c>
      <c r="Y25" s="117">
        <v>375</v>
      </c>
      <c r="Z25" s="117">
        <v>375</v>
      </c>
      <c r="AA25" s="117">
        <v>371</v>
      </c>
      <c r="AB25" s="117">
        <v>377</v>
      </c>
      <c r="AC25" s="117">
        <v>388</v>
      </c>
      <c r="AD25" s="117">
        <v>330</v>
      </c>
      <c r="AE25" s="117">
        <v>408</v>
      </c>
      <c r="AF25" s="112">
        <v>424</v>
      </c>
      <c r="AG25" s="112">
        <v>441</v>
      </c>
      <c r="AH25" s="112">
        <v>458</v>
      </c>
      <c r="AI25" s="112">
        <v>477</v>
      </c>
      <c r="AJ25" s="112">
        <v>496</v>
      </c>
      <c r="AK25" s="112">
        <v>516</v>
      </c>
      <c r="AL25" s="112">
        <v>536</v>
      </c>
      <c r="AM25" s="112">
        <v>558</v>
      </c>
      <c r="AN25" s="112">
        <v>580</v>
      </c>
      <c r="AO25" s="112">
        <v>603</v>
      </c>
      <c r="AP25" s="112">
        <v>603</v>
      </c>
      <c r="AQ25" s="112">
        <v>603</v>
      </c>
    </row>
    <row r="26" spans="1:43" ht="12">
      <c r="A26" s="12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4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</row>
    <row r="27" spans="1:43" s="106" customFormat="1" ht="12">
      <c r="A27" s="122"/>
      <c r="B27" s="123">
        <v>47944</v>
      </c>
      <c r="C27" s="123">
        <v>52676</v>
      </c>
      <c r="D27" s="123">
        <v>44121</v>
      </c>
      <c r="E27" s="123">
        <v>57855</v>
      </c>
      <c r="F27" s="123">
        <v>61915</v>
      </c>
      <c r="G27" s="123">
        <v>61439</v>
      </c>
      <c r="H27" s="123">
        <v>77547</v>
      </c>
      <c r="I27" s="123">
        <v>82459</v>
      </c>
      <c r="J27" s="123">
        <v>90641</v>
      </c>
      <c r="K27" s="123">
        <v>106589</v>
      </c>
      <c r="L27" s="123">
        <v>101467</v>
      </c>
      <c r="M27" s="123">
        <v>98068</v>
      </c>
      <c r="N27" s="123">
        <v>106503</v>
      </c>
      <c r="O27" s="123">
        <v>117976</v>
      </c>
      <c r="P27" s="123">
        <v>131739</v>
      </c>
      <c r="Q27" s="123">
        <v>136286</v>
      </c>
      <c r="R27" s="123">
        <v>140211</v>
      </c>
      <c r="S27" s="123">
        <v>154573</v>
      </c>
      <c r="T27" s="123">
        <v>165300</v>
      </c>
      <c r="U27" s="123">
        <v>162263</v>
      </c>
      <c r="V27" s="123">
        <v>192799</v>
      </c>
      <c r="W27" s="111">
        <v>203314</v>
      </c>
      <c r="X27" s="123">
        <v>189900</v>
      </c>
      <c r="Y27" s="123">
        <v>198371.382</v>
      </c>
      <c r="Z27" s="123">
        <v>205199.63761199996</v>
      </c>
      <c r="AA27" s="123">
        <v>212315.22822756198</v>
      </c>
      <c r="AB27" s="123">
        <v>221171.33676023438</v>
      </c>
      <c r="AC27" s="123">
        <v>230312.9040755432</v>
      </c>
      <c r="AD27" s="123">
        <v>238392.66727020012</v>
      </c>
      <c r="AE27" s="123">
        <v>249874.19989462683</v>
      </c>
      <c r="AF27" s="123">
        <v>255682.95421768865</v>
      </c>
      <c r="AG27" s="123">
        <v>262333.30563756905</v>
      </c>
      <c r="AH27" s="123">
        <v>272292.59934801207</v>
      </c>
      <c r="AI27" s="123">
        <v>285567.19937472284</v>
      </c>
      <c r="AJ27" s="123">
        <v>291471.5401025681</v>
      </c>
      <c r="AK27" s="123">
        <v>300609.18042036257</v>
      </c>
      <c r="AL27" s="123">
        <v>310697.8606164892</v>
      </c>
      <c r="AM27" s="123">
        <v>323946.5621653889</v>
      </c>
      <c r="AN27" s="123">
        <v>337355.5705520938</v>
      </c>
      <c r="AO27" s="123">
        <v>351411.54128947295</v>
      </c>
      <c r="AP27" s="123">
        <v>366177.56929074746</v>
      </c>
      <c r="AQ27" s="123">
        <v>450947.2617681077</v>
      </c>
    </row>
    <row r="28" spans="1:43" ht="12">
      <c r="A28" s="122" t="s">
        <v>24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24"/>
      <c r="S28" s="124"/>
      <c r="T28" s="124"/>
      <c r="U28" s="124"/>
      <c r="V28" s="112"/>
      <c r="W28" s="114"/>
      <c r="X28" s="112"/>
      <c r="Y28" s="125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</row>
    <row r="29" spans="1:43" ht="12">
      <c r="A29" s="120" t="s">
        <v>25</v>
      </c>
      <c r="B29" s="112">
        <v>18154</v>
      </c>
      <c r="C29" s="112">
        <v>22198</v>
      </c>
      <c r="D29" s="112">
        <v>20841</v>
      </c>
      <c r="E29" s="112">
        <v>19817</v>
      </c>
      <c r="F29" s="112">
        <v>19862</v>
      </c>
      <c r="G29" s="112">
        <v>21719</v>
      </c>
      <c r="H29" s="112">
        <v>24166</v>
      </c>
      <c r="I29" s="112">
        <v>26781</v>
      </c>
      <c r="J29" s="112">
        <v>31312</v>
      </c>
      <c r="K29" s="112">
        <v>27988</v>
      </c>
      <c r="L29" s="112">
        <v>31940</v>
      </c>
      <c r="M29" s="112">
        <v>33207</v>
      </c>
      <c r="N29" s="112">
        <v>34404</v>
      </c>
      <c r="O29" s="112">
        <v>35769</v>
      </c>
      <c r="P29" s="112">
        <v>37985</v>
      </c>
      <c r="Q29" s="112">
        <v>40849</v>
      </c>
      <c r="R29" s="116">
        <v>45772</v>
      </c>
      <c r="S29" s="116">
        <v>61562</v>
      </c>
      <c r="T29" s="117">
        <v>53171</v>
      </c>
      <c r="U29" s="117">
        <v>53327</v>
      </c>
      <c r="V29" s="112">
        <v>57204</v>
      </c>
      <c r="W29" s="114">
        <v>58537</v>
      </c>
      <c r="X29" s="112">
        <v>60223</v>
      </c>
      <c r="Y29" s="112">
        <v>62029.69</v>
      </c>
      <c r="Z29" s="112">
        <v>63890.580700000006</v>
      </c>
      <c r="AA29" s="112">
        <v>65807.29812100001</v>
      </c>
      <c r="AB29" s="112">
        <v>67781.51706463001</v>
      </c>
      <c r="AC29" s="112">
        <v>69814.96257656891</v>
      </c>
      <c r="AD29" s="112">
        <v>71909.41145386598</v>
      </c>
      <c r="AE29" s="112">
        <v>74066.69379748196</v>
      </c>
      <c r="AF29" s="112">
        <v>76288.69461140642</v>
      </c>
      <c r="AG29" s="112">
        <v>78577.35544974862</v>
      </c>
      <c r="AH29" s="112">
        <v>80934.67611324108</v>
      </c>
      <c r="AI29" s="112">
        <v>83362.71639663831</v>
      </c>
      <c r="AJ29" s="112">
        <v>85863.59788853746</v>
      </c>
      <c r="AK29" s="112">
        <v>88439.50582519358</v>
      </c>
      <c r="AL29" s="112">
        <v>91092.6909999494</v>
      </c>
      <c r="AM29" s="112">
        <v>93825.47172994788</v>
      </c>
      <c r="AN29" s="112">
        <v>96640.23588184633</v>
      </c>
      <c r="AO29" s="112">
        <v>99539.44295830172</v>
      </c>
      <c r="AP29" s="112">
        <v>102525.62624705078</v>
      </c>
      <c r="AQ29" s="112">
        <v>105601.3950344623</v>
      </c>
    </row>
    <row r="30" spans="1:43" ht="12">
      <c r="A30" s="120" t="s">
        <v>26</v>
      </c>
      <c r="B30" s="112">
        <v>14952</v>
      </c>
      <c r="C30" s="112">
        <v>15453</v>
      </c>
      <c r="D30" s="112">
        <v>15969</v>
      </c>
      <c r="E30" s="112">
        <v>18516</v>
      </c>
      <c r="F30" s="112">
        <v>20441</v>
      </c>
      <c r="G30" s="112">
        <v>20620</v>
      </c>
      <c r="H30" s="112">
        <v>25598</v>
      </c>
      <c r="I30" s="112">
        <v>28070</v>
      </c>
      <c r="J30" s="112">
        <v>30103</v>
      </c>
      <c r="K30" s="112">
        <v>28566</v>
      </c>
      <c r="L30" s="112">
        <v>31027</v>
      </c>
      <c r="M30" s="112">
        <v>31221</v>
      </c>
      <c r="N30" s="112">
        <v>32890</v>
      </c>
      <c r="O30" s="112">
        <v>36591</v>
      </c>
      <c r="P30" s="112">
        <v>37563</v>
      </c>
      <c r="Q30" s="112">
        <v>38950</v>
      </c>
      <c r="R30" s="116">
        <v>42009</v>
      </c>
      <c r="S30" s="116">
        <v>45418</v>
      </c>
      <c r="T30" s="117">
        <v>46594</v>
      </c>
      <c r="U30" s="117">
        <v>48620</v>
      </c>
      <c r="V30" s="112">
        <v>56542</v>
      </c>
      <c r="W30" s="114">
        <v>64954</v>
      </c>
      <c r="X30" s="112">
        <v>66442</v>
      </c>
      <c r="Y30" s="112">
        <v>69672.46172875</v>
      </c>
      <c r="Z30" s="112">
        <v>73062.93459752876</v>
      </c>
      <c r="AA30" s="112">
        <v>76621.4369022336</v>
      </c>
      <c r="AB30" s="112">
        <v>80356.39160368532</v>
      </c>
      <c r="AC30" s="112">
        <v>84276.6468374942</v>
      </c>
      <c r="AD30" s="112">
        <v>88391.49746608797</v>
      </c>
      <c r="AE30" s="112">
        <v>92710.70772593646</v>
      </c>
      <c r="AF30" s="112">
        <v>97244.53502570957</v>
      </c>
      <c r="AG30" s="112">
        <v>102003.75495394363</v>
      </c>
      <c r="AH30" s="112">
        <v>106999.6875577753</v>
      </c>
      <c r="AI30" s="112">
        <v>112244.2249574378</v>
      </c>
      <c r="AJ30" s="112">
        <v>117749.86036450956</v>
      </c>
      <c r="AK30" s="112">
        <v>123529.71857536926</v>
      </c>
      <c r="AL30" s="112">
        <v>129597.5880149509</v>
      </c>
      <c r="AM30" s="112">
        <v>135967.95440971834</v>
      </c>
      <c r="AN30" s="112">
        <v>142656.03617279907</v>
      </c>
      <c r="AO30" s="112">
        <v>149677.82158844246</v>
      </c>
      <c r="AP30" s="112">
        <v>157050.10788740858</v>
      </c>
      <c r="AQ30" s="112">
        <v>164790.54230956064</v>
      </c>
    </row>
    <row r="31" spans="1:43" ht="12">
      <c r="A31" s="120" t="s">
        <v>27</v>
      </c>
      <c r="B31" s="112">
        <v>1830</v>
      </c>
      <c r="C31" s="112">
        <v>3187</v>
      </c>
      <c r="D31" s="112">
        <v>3580</v>
      </c>
      <c r="E31" s="112">
        <v>14417</v>
      </c>
      <c r="F31" s="112">
        <v>13806</v>
      </c>
      <c r="G31" s="112">
        <v>12204</v>
      </c>
      <c r="H31" s="112">
        <v>15727</v>
      </c>
      <c r="I31" s="112">
        <v>15129</v>
      </c>
      <c r="J31" s="112">
        <v>17664</v>
      </c>
      <c r="K31" s="112">
        <v>17460</v>
      </c>
      <c r="L31" s="112">
        <v>18995</v>
      </c>
      <c r="M31" s="112">
        <v>20006</v>
      </c>
      <c r="N31" s="112">
        <v>19943</v>
      </c>
      <c r="O31" s="112">
        <v>19946</v>
      </c>
      <c r="P31" s="112">
        <v>20636</v>
      </c>
      <c r="Q31" s="112">
        <v>24178</v>
      </c>
      <c r="R31" s="116">
        <v>26937</v>
      </c>
      <c r="S31" s="116">
        <v>23544</v>
      </c>
      <c r="T31" s="117">
        <v>25526</v>
      </c>
      <c r="U31" s="117">
        <v>24851</v>
      </c>
      <c r="V31" s="112">
        <v>26990</v>
      </c>
      <c r="W31" s="114">
        <v>32649</v>
      </c>
      <c r="X31" s="112">
        <v>32649</v>
      </c>
      <c r="Y31" s="112">
        <v>33954.96</v>
      </c>
      <c r="Z31" s="112">
        <v>35313.1584</v>
      </c>
      <c r="AA31" s="112">
        <v>36725.684736</v>
      </c>
      <c r="AB31" s="112">
        <v>38194.712125440004</v>
      </c>
      <c r="AC31" s="112">
        <v>39722.50061045761</v>
      </c>
      <c r="AD31" s="112">
        <v>41311.400634875914</v>
      </c>
      <c r="AE31" s="112">
        <v>42963.856660270954</v>
      </c>
      <c r="AF31" s="112">
        <v>44682.41092668179</v>
      </c>
      <c r="AG31" s="112">
        <v>46469.70736374906</v>
      </c>
      <c r="AH31" s="112">
        <v>48328.49565829903</v>
      </c>
      <c r="AI31" s="112">
        <v>50261.63548463099</v>
      </c>
      <c r="AJ31" s="112">
        <v>52272.10090401623</v>
      </c>
      <c r="AK31" s="112">
        <v>54362.98494017688</v>
      </c>
      <c r="AL31" s="112">
        <v>56537.50433778396</v>
      </c>
      <c r="AM31" s="112">
        <v>58799.00451129532</v>
      </c>
      <c r="AN31" s="112">
        <v>61150.96469174714</v>
      </c>
      <c r="AO31" s="112">
        <v>63597.003279417026</v>
      </c>
      <c r="AP31" s="112">
        <v>66140.88341059371</v>
      </c>
      <c r="AQ31" s="112">
        <v>68786.51874701746</v>
      </c>
    </row>
    <row r="32" spans="1:43" ht="12">
      <c r="A32" s="120" t="s">
        <v>81</v>
      </c>
      <c r="B32" s="112">
        <v>985</v>
      </c>
      <c r="C32" s="112">
        <v>3166</v>
      </c>
      <c r="D32" s="112">
        <v>1273</v>
      </c>
      <c r="E32" s="112">
        <v>1580</v>
      </c>
      <c r="F32" s="112">
        <v>2273</v>
      </c>
      <c r="G32" s="112">
        <v>941</v>
      </c>
      <c r="H32" s="112">
        <v>3912</v>
      </c>
      <c r="I32" s="112">
        <v>1643</v>
      </c>
      <c r="J32" s="112">
        <v>2799</v>
      </c>
      <c r="K32" s="112">
        <v>1362</v>
      </c>
      <c r="L32" s="112">
        <v>982</v>
      </c>
      <c r="M32" s="112">
        <v>7881</v>
      </c>
      <c r="N32" s="112">
        <v>1998</v>
      </c>
      <c r="O32" s="112">
        <v>1838</v>
      </c>
      <c r="P32" s="112">
        <v>736</v>
      </c>
      <c r="Q32" s="112">
        <v>765</v>
      </c>
      <c r="R32" s="116">
        <v>165</v>
      </c>
      <c r="S32" s="116">
        <v>188</v>
      </c>
      <c r="T32" s="117">
        <v>235</v>
      </c>
      <c r="U32" s="117">
        <v>472</v>
      </c>
      <c r="V32" s="112">
        <v>309</v>
      </c>
      <c r="W32" s="114">
        <v>735</v>
      </c>
      <c r="X32" s="112">
        <v>384</v>
      </c>
      <c r="Y32" s="112">
        <v>375</v>
      </c>
      <c r="Z32" s="112">
        <v>375</v>
      </c>
      <c r="AA32" s="112">
        <v>371</v>
      </c>
      <c r="AB32" s="112">
        <v>377</v>
      </c>
      <c r="AC32" s="112">
        <v>388</v>
      </c>
      <c r="AD32" s="112">
        <v>330</v>
      </c>
      <c r="AE32" s="112">
        <v>408</v>
      </c>
      <c r="AF32" s="112">
        <v>424</v>
      </c>
      <c r="AG32" s="112">
        <v>441</v>
      </c>
      <c r="AH32" s="112">
        <v>458</v>
      </c>
      <c r="AI32" s="112">
        <v>477</v>
      </c>
      <c r="AJ32" s="112">
        <v>496</v>
      </c>
      <c r="AK32" s="112">
        <v>516</v>
      </c>
      <c r="AL32" s="112">
        <v>536</v>
      </c>
      <c r="AM32" s="112">
        <v>558</v>
      </c>
      <c r="AN32" s="112">
        <v>580</v>
      </c>
      <c r="AO32" s="112">
        <v>603</v>
      </c>
      <c r="AP32" s="112">
        <v>603</v>
      </c>
      <c r="AQ32" s="112">
        <v>603</v>
      </c>
    </row>
    <row r="33" spans="1:43" ht="12">
      <c r="A33" s="120" t="s">
        <v>258</v>
      </c>
      <c r="B33" s="112">
        <v>1420</v>
      </c>
      <c r="C33" s="112">
        <v>2156</v>
      </c>
      <c r="D33" s="112">
        <v>1903</v>
      </c>
      <c r="E33" s="112">
        <v>2774</v>
      </c>
      <c r="F33" s="112">
        <v>1852</v>
      </c>
      <c r="G33" s="112">
        <v>1511</v>
      </c>
      <c r="H33" s="112">
        <v>1248</v>
      </c>
      <c r="I33" s="112">
        <v>1142</v>
      </c>
      <c r="J33" s="112">
        <v>1037</v>
      </c>
      <c r="K33" s="112">
        <v>1126</v>
      </c>
      <c r="L33" s="112">
        <v>1101</v>
      </c>
      <c r="M33" s="112">
        <v>1016</v>
      </c>
      <c r="N33" s="112">
        <v>970</v>
      </c>
      <c r="O33" s="112">
        <v>1029</v>
      </c>
      <c r="P33" s="112">
        <v>849</v>
      </c>
      <c r="Q33" s="112">
        <v>774</v>
      </c>
      <c r="R33" s="116">
        <v>711</v>
      </c>
      <c r="S33" s="116">
        <v>644</v>
      </c>
      <c r="T33" s="117">
        <v>579</v>
      </c>
      <c r="U33" s="117">
        <v>1222</v>
      </c>
      <c r="V33" s="112">
        <v>1796</v>
      </c>
      <c r="W33" s="114">
        <v>1848</v>
      </c>
      <c r="X33" s="112">
        <v>2343</v>
      </c>
      <c r="Y33" s="112">
        <v>2432.76</v>
      </c>
      <c r="Z33" s="112">
        <v>2758.9579877590772</v>
      </c>
      <c r="AA33" s="112">
        <v>3490.25210005354</v>
      </c>
      <c r="AB33" s="112">
        <v>4106.5213152171555</v>
      </c>
      <c r="AC33" s="112">
        <v>4415.768557788106</v>
      </c>
      <c r="AD33" s="112">
        <v>4495.221100896492</v>
      </c>
      <c r="AE33" s="112">
        <v>4585.837287462248</v>
      </c>
      <c r="AF33" s="112">
        <v>4143.595038434994</v>
      </c>
      <c r="AG33" s="112">
        <v>3794.5859838763013</v>
      </c>
      <c r="AH33" s="112">
        <v>4971.793701412079</v>
      </c>
      <c r="AI33" s="112">
        <v>4731.776286150105</v>
      </c>
      <c r="AJ33" s="112">
        <v>3858.6650190572545</v>
      </c>
      <c r="AK33" s="112">
        <v>3085.348360402732</v>
      </c>
      <c r="AL33" s="112">
        <v>3565.340847924086</v>
      </c>
      <c r="AM33" s="112">
        <v>3005.3721922167106</v>
      </c>
      <c r="AN33" s="112">
        <v>2302.2800144843404</v>
      </c>
      <c r="AO33" s="112">
        <v>1572.0078881426382</v>
      </c>
      <c r="AP33" s="112">
        <v>923.3193074753565</v>
      </c>
      <c r="AQ33" s="112">
        <v>641.7771050406475</v>
      </c>
    </row>
    <row r="34" spans="1:43" ht="12">
      <c r="A34" s="120" t="s">
        <v>232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6">
        <v>320</v>
      </c>
      <c r="S34" s="116">
        <v>319</v>
      </c>
      <c r="T34" s="117">
        <v>655</v>
      </c>
      <c r="U34" s="117">
        <v>601</v>
      </c>
      <c r="V34" s="112">
        <v>591</v>
      </c>
      <c r="W34" s="114">
        <v>515</v>
      </c>
      <c r="X34" s="112">
        <v>515</v>
      </c>
      <c r="Y34" s="112">
        <v>527.875</v>
      </c>
      <c r="Z34" s="112">
        <v>541.071875</v>
      </c>
      <c r="AA34" s="112">
        <v>554.5986718749999</v>
      </c>
      <c r="AB34" s="112">
        <v>568.4636386718748</v>
      </c>
      <c r="AC34" s="112">
        <v>582.6752296386717</v>
      </c>
      <c r="AD34" s="112">
        <v>597.2421103796385</v>
      </c>
      <c r="AE34" s="112">
        <v>612.1731631391293</v>
      </c>
      <c r="AF34" s="112">
        <v>627.4774922176075</v>
      </c>
      <c r="AG34" s="112">
        <v>643.1644295230476</v>
      </c>
      <c r="AH34" s="112">
        <v>659.2435402611237</v>
      </c>
      <c r="AI34" s="112">
        <v>675.7246287676518</v>
      </c>
      <c r="AJ34" s="112">
        <v>692.617744486843</v>
      </c>
      <c r="AK34" s="112">
        <v>709.933188099014</v>
      </c>
      <c r="AL34" s="112">
        <v>727.6815178014893</v>
      </c>
      <c r="AM34" s="112">
        <v>745.8735557465266</v>
      </c>
      <c r="AN34" s="112">
        <v>764.5203946401897</v>
      </c>
      <c r="AO34" s="112">
        <v>783.6334045061943</v>
      </c>
      <c r="AP34" s="112">
        <v>803.2242396188491</v>
      </c>
      <c r="AQ34" s="112">
        <v>823.3048456093202</v>
      </c>
    </row>
    <row r="35" spans="1:43" ht="12">
      <c r="A35" s="120" t="s">
        <v>28</v>
      </c>
      <c r="B35" s="112">
        <v>2318</v>
      </c>
      <c r="C35" s="112">
        <v>4109</v>
      </c>
      <c r="D35" s="112">
        <v>3080</v>
      </c>
      <c r="E35" s="112">
        <v>3616</v>
      </c>
      <c r="F35" s="112">
        <v>4270</v>
      </c>
      <c r="G35" s="112">
        <v>3742</v>
      </c>
      <c r="H35" s="112">
        <v>3099</v>
      </c>
      <c r="I35" s="112">
        <v>7079</v>
      </c>
      <c r="J35" s="112">
        <v>5326</v>
      </c>
      <c r="K35" s="112">
        <v>5225</v>
      </c>
      <c r="L35" s="112">
        <v>8755</v>
      </c>
      <c r="M35" s="112">
        <v>5281</v>
      </c>
      <c r="N35" s="112">
        <v>5743</v>
      </c>
      <c r="O35" s="112">
        <v>5472</v>
      </c>
      <c r="P35" s="112">
        <v>6214</v>
      </c>
      <c r="Q35" s="112">
        <v>5754</v>
      </c>
      <c r="R35" s="116">
        <v>5257</v>
      </c>
      <c r="S35" s="116">
        <v>4824</v>
      </c>
      <c r="T35" s="117">
        <v>5947</v>
      </c>
      <c r="U35" s="117">
        <v>12954</v>
      </c>
      <c r="V35" s="112">
        <v>1656</v>
      </c>
      <c r="W35" s="114">
        <v>1124</v>
      </c>
      <c r="X35" s="112">
        <v>1379</v>
      </c>
      <c r="Y35" s="112">
        <v>1413.475</v>
      </c>
      <c r="Z35" s="112">
        <v>1448.8118749999999</v>
      </c>
      <c r="AA35" s="112">
        <v>1485.0321718749997</v>
      </c>
      <c r="AB35" s="112">
        <v>1522.1579761718745</v>
      </c>
      <c r="AC35" s="112">
        <v>1560.211925576171</v>
      </c>
      <c r="AD35" s="112">
        <v>1599.2172237155753</v>
      </c>
      <c r="AE35" s="112">
        <v>1639.1976543084645</v>
      </c>
      <c r="AF35" s="112">
        <v>1680.1775956661759</v>
      </c>
      <c r="AG35" s="112">
        <v>1722.1820355578302</v>
      </c>
      <c r="AH35" s="112">
        <v>1765.2365864467758</v>
      </c>
      <c r="AI35" s="112">
        <v>1809.3675011079451</v>
      </c>
      <c r="AJ35" s="112">
        <v>1854.6016886356435</v>
      </c>
      <c r="AK35" s="112">
        <v>1900.9667308515345</v>
      </c>
      <c r="AL35" s="112">
        <v>1948.4908991228226</v>
      </c>
      <c r="AM35" s="112">
        <v>1997.203171600893</v>
      </c>
      <c r="AN35" s="112">
        <v>2047.1332508909152</v>
      </c>
      <c r="AO35" s="112">
        <v>2098.3115821631877</v>
      </c>
      <c r="AP35" s="112">
        <v>2150.7693717172674</v>
      </c>
      <c r="AQ35" s="112">
        <v>2204.5386060101987</v>
      </c>
    </row>
    <row r="36" spans="1:43" ht="12">
      <c r="A36" s="120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4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</row>
    <row r="37" spans="1:43" s="106" customFormat="1" ht="12">
      <c r="A37" s="126"/>
      <c r="B37" s="123">
        <v>39659</v>
      </c>
      <c r="C37" s="123">
        <v>50269</v>
      </c>
      <c r="D37" s="123">
        <v>46646</v>
      </c>
      <c r="E37" s="123">
        <v>60720</v>
      </c>
      <c r="F37" s="123">
        <v>62504</v>
      </c>
      <c r="G37" s="123">
        <v>60737</v>
      </c>
      <c r="H37" s="123">
        <v>73750</v>
      </c>
      <c r="I37" s="123">
        <v>79844</v>
      </c>
      <c r="J37" s="123">
        <v>88241</v>
      </c>
      <c r="K37" s="123">
        <v>81727</v>
      </c>
      <c r="L37" s="123">
        <v>92800</v>
      </c>
      <c r="M37" s="123">
        <v>98612</v>
      </c>
      <c r="N37" s="123">
        <v>95948</v>
      </c>
      <c r="O37" s="123">
        <v>100645</v>
      </c>
      <c r="P37" s="123">
        <v>103983</v>
      </c>
      <c r="Q37" s="123">
        <v>111270</v>
      </c>
      <c r="R37" s="123">
        <v>121171</v>
      </c>
      <c r="S37" s="123">
        <v>136499</v>
      </c>
      <c r="T37" s="123">
        <v>132707</v>
      </c>
      <c r="U37" s="123">
        <v>142047</v>
      </c>
      <c r="V37" s="123">
        <v>145088</v>
      </c>
      <c r="W37" s="111">
        <v>160362</v>
      </c>
      <c r="X37" s="123">
        <v>163935</v>
      </c>
      <c r="Y37" s="123">
        <v>170406.22172875</v>
      </c>
      <c r="Z37" s="123">
        <v>177390.51543528787</v>
      </c>
      <c r="AA37" s="123">
        <v>185055.30270303716</v>
      </c>
      <c r="AB37" s="123">
        <v>192906.76372381626</v>
      </c>
      <c r="AC37" s="123">
        <v>200760.76573752367</v>
      </c>
      <c r="AD37" s="123">
        <v>208633.98998982154</v>
      </c>
      <c r="AE37" s="123">
        <v>216986.46628859921</v>
      </c>
      <c r="AF37" s="123">
        <v>225090.89069011656</v>
      </c>
      <c r="AG37" s="123">
        <v>233651.7502163985</v>
      </c>
      <c r="AH37" s="123">
        <v>244117.13315743534</v>
      </c>
      <c r="AI37" s="123">
        <v>253562.44525473277</v>
      </c>
      <c r="AJ37" s="123">
        <v>262787.44360924297</v>
      </c>
      <c r="AK37" s="123">
        <v>272544.457620093</v>
      </c>
      <c r="AL37" s="123">
        <v>284005.2966175326</v>
      </c>
      <c r="AM37" s="123">
        <v>294898.87957052566</v>
      </c>
      <c r="AN37" s="123">
        <v>306141.1704064081</v>
      </c>
      <c r="AO37" s="123">
        <v>317871.2207009733</v>
      </c>
      <c r="AP37" s="123">
        <v>330196.9304638646</v>
      </c>
      <c r="AQ37" s="123">
        <v>343451.07664770057</v>
      </c>
    </row>
    <row r="38" spans="1:43" ht="12">
      <c r="A38" s="120"/>
      <c r="B38" s="112"/>
      <c r="C38" s="112"/>
      <c r="D38" s="112"/>
      <c r="E38" s="112"/>
      <c r="F38" s="112"/>
      <c r="G38" s="112"/>
      <c r="H38" s="112"/>
      <c r="I38" s="127"/>
      <c r="J38" s="127"/>
      <c r="K38" s="127"/>
      <c r="L38" s="128"/>
      <c r="M38" s="128"/>
      <c r="N38" s="128"/>
      <c r="O38" s="128"/>
      <c r="P38" s="128"/>
      <c r="Q38" s="127"/>
      <c r="R38" s="127"/>
      <c r="S38" s="127"/>
      <c r="T38" s="127"/>
      <c r="U38" s="127"/>
      <c r="V38" s="127"/>
      <c r="W38" s="129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</row>
    <row r="39" spans="1:43" ht="12">
      <c r="A39" s="120" t="s">
        <v>82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38838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/>
      <c r="N39" s="112"/>
      <c r="O39" s="112">
        <v>0</v>
      </c>
      <c r="P39" s="112"/>
      <c r="Q39" s="112">
        <v>0</v>
      </c>
      <c r="R39" s="112">
        <v>1</v>
      </c>
      <c r="S39" s="112">
        <v>1</v>
      </c>
      <c r="T39" s="112">
        <v>0</v>
      </c>
      <c r="U39" s="112">
        <v>1</v>
      </c>
      <c r="V39" s="112">
        <v>0</v>
      </c>
      <c r="W39" s="114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</row>
    <row r="40" spans="1:43" ht="12">
      <c r="A40" s="12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4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</row>
    <row r="41" spans="1:43" s="106" customFormat="1" ht="12">
      <c r="A41" s="122" t="s">
        <v>29</v>
      </c>
      <c r="B41" s="123">
        <v>8285</v>
      </c>
      <c r="C41" s="123">
        <v>2407</v>
      </c>
      <c r="D41" s="123">
        <v>-2525</v>
      </c>
      <c r="E41" s="123">
        <v>-2865</v>
      </c>
      <c r="F41" s="123">
        <v>-589</v>
      </c>
      <c r="G41" s="123">
        <v>-38136</v>
      </c>
      <c r="H41" s="123">
        <v>3797</v>
      </c>
      <c r="I41" s="123">
        <v>2615</v>
      </c>
      <c r="J41" s="123">
        <v>2400</v>
      </c>
      <c r="K41" s="123">
        <v>24862</v>
      </c>
      <c r="L41" s="123">
        <v>8667</v>
      </c>
      <c r="M41" s="123">
        <v>-544</v>
      </c>
      <c r="N41" s="130">
        <v>10555</v>
      </c>
      <c r="O41" s="130">
        <v>17331</v>
      </c>
      <c r="P41" s="130">
        <v>27756</v>
      </c>
      <c r="Q41" s="130">
        <v>25016</v>
      </c>
      <c r="R41" s="130">
        <v>19040</v>
      </c>
      <c r="S41" s="130">
        <v>18074</v>
      </c>
      <c r="T41" s="130">
        <v>32593</v>
      </c>
      <c r="U41" s="130">
        <v>20216</v>
      </c>
      <c r="V41" s="130">
        <v>47711</v>
      </c>
      <c r="W41" s="130">
        <v>42952</v>
      </c>
      <c r="X41" s="130">
        <v>25965</v>
      </c>
      <c r="Y41" s="130">
        <v>27965.160271250003</v>
      </c>
      <c r="Z41" s="130">
        <v>27809.122176712088</v>
      </c>
      <c r="AA41" s="130">
        <v>27259.92552452482</v>
      </c>
      <c r="AB41" s="130">
        <v>28264.57303641812</v>
      </c>
      <c r="AC41" s="130">
        <v>29552.13833801952</v>
      </c>
      <c r="AD41" s="130">
        <v>29758.677280378586</v>
      </c>
      <c r="AE41" s="130">
        <v>32887.733606027614</v>
      </c>
      <c r="AF41" s="130">
        <v>30592.063527572085</v>
      </c>
      <c r="AG41" s="130">
        <v>28681.555421170546</v>
      </c>
      <c r="AH41" s="130">
        <v>28175.466190576728</v>
      </c>
      <c r="AI41" s="130">
        <v>32004.754119990073</v>
      </c>
      <c r="AJ41" s="130">
        <v>28684.096493325138</v>
      </c>
      <c r="AK41" s="130">
        <v>28064.72280026955</v>
      </c>
      <c r="AL41" s="130">
        <v>26692.563998956583</v>
      </c>
      <c r="AM41" s="130">
        <v>29047.682594863232</v>
      </c>
      <c r="AN41" s="130">
        <v>31214.400145685708</v>
      </c>
      <c r="AO41" s="130">
        <v>33540.32058849966</v>
      </c>
      <c r="AP41" s="130">
        <v>35980.638826882874</v>
      </c>
      <c r="AQ41" s="130">
        <v>107496.18512040714</v>
      </c>
    </row>
    <row r="42" spans="1:43" ht="12">
      <c r="A42" s="12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</row>
    <row r="43" spans="1:43" ht="12">
      <c r="A43" s="121" t="s">
        <v>78</v>
      </c>
      <c r="B43" s="112">
        <v>216640</v>
      </c>
      <c r="C43" s="112">
        <v>224925</v>
      </c>
      <c r="D43" s="112">
        <v>87203</v>
      </c>
      <c r="E43" s="112">
        <v>551529</v>
      </c>
      <c r="F43" s="112">
        <v>548209</v>
      </c>
      <c r="G43" s="112">
        <v>548243</v>
      </c>
      <c r="H43" s="112">
        <v>523968</v>
      </c>
      <c r="I43" s="112">
        <v>542897</v>
      </c>
      <c r="J43" s="112">
        <v>527096</v>
      </c>
      <c r="K43" s="112">
        <v>558923</v>
      </c>
      <c r="L43" s="112">
        <v>771644</v>
      </c>
      <c r="M43" s="112">
        <v>809571</v>
      </c>
      <c r="N43" s="112">
        <v>865551</v>
      </c>
      <c r="O43" s="112">
        <v>877928</v>
      </c>
      <c r="P43" s="112">
        <v>1009326</v>
      </c>
      <c r="Q43" s="112">
        <v>1029095</v>
      </c>
      <c r="R43" s="112">
        <v>1131531</v>
      </c>
      <c r="S43" s="112">
        <v>1489353</v>
      </c>
      <c r="T43" s="112">
        <v>1390415</v>
      </c>
      <c r="U43" s="112">
        <v>1398202</v>
      </c>
      <c r="V43" s="112">
        <v>1438962</v>
      </c>
      <c r="W43" s="114">
        <v>1574410</v>
      </c>
      <c r="X43" s="112">
        <v>1617362</v>
      </c>
      <c r="Y43" s="112">
        <v>1643327</v>
      </c>
      <c r="Z43" s="112">
        <v>1671292.16027125</v>
      </c>
      <c r="AA43" s="112">
        <v>1699101.282447962</v>
      </c>
      <c r="AB43" s="112">
        <v>1726361.207972487</v>
      </c>
      <c r="AC43" s="112">
        <v>1754625.781008905</v>
      </c>
      <c r="AD43" s="112">
        <v>1784177.9193469246</v>
      </c>
      <c r="AE43" s="112">
        <v>1813936.5966273032</v>
      </c>
      <c r="AF43" s="112">
        <v>1846824.3302333308</v>
      </c>
      <c r="AG43" s="112">
        <v>1877416.3937609028</v>
      </c>
      <c r="AH43" s="112">
        <v>1906097.9491820734</v>
      </c>
      <c r="AI43" s="112">
        <v>1934273.4153726501</v>
      </c>
      <c r="AJ43" s="112">
        <v>1966278.1694926403</v>
      </c>
      <c r="AK43" s="112">
        <v>1994962.2659859655</v>
      </c>
      <c r="AL43" s="112">
        <v>2023026.988786235</v>
      </c>
      <c r="AM43" s="112">
        <v>2049719.5527851917</v>
      </c>
      <c r="AN43" s="112">
        <v>2078767.235380055</v>
      </c>
      <c r="AO43" s="112">
        <v>2109981.6355257407</v>
      </c>
      <c r="AP43" s="112">
        <v>2143521.9561142405</v>
      </c>
      <c r="AQ43" s="112">
        <v>2179502.5949411234</v>
      </c>
    </row>
    <row r="44" spans="1:43" ht="12">
      <c r="A44" s="121" t="s">
        <v>83</v>
      </c>
      <c r="B44" s="112">
        <v>0</v>
      </c>
      <c r="C44" s="112">
        <v>-140129</v>
      </c>
      <c r="D44" s="112">
        <v>466851</v>
      </c>
      <c r="E44" s="112">
        <v>-455</v>
      </c>
      <c r="F44" s="112">
        <v>623</v>
      </c>
      <c r="G44" s="112">
        <v>13861</v>
      </c>
      <c r="H44" s="112">
        <v>15132</v>
      </c>
      <c r="I44" s="112">
        <v>-18416</v>
      </c>
      <c r="J44" s="112">
        <v>29427</v>
      </c>
      <c r="K44" s="112">
        <v>187859</v>
      </c>
      <c r="L44" s="112">
        <v>29260</v>
      </c>
      <c r="M44" s="112">
        <v>56524</v>
      </c>
      <c r="N44" s="112">
        <v>1822</v>
      </c>
      <c r="O44" s="112">
        <v>114067</v>
      </c>
      <c r="P44" s="112">
        <v>-7987</v>
      </c>
      <c r="Q44" s="112">
        <v>77420</v>
      </c>
      <c r="R44" s="112">
        <v>338782</v>
      </c>
      <c r="S44" s="112">
        <v>-117012</v>
      </c>
      <c r="T44" s="112">
        <v>-24806</v>
      </c>
      <c r="U44" s="112">
        <v>20544</v>
      </c>
      <c r="V44" s="112">
        <v>87737</v>
      </c>
      <c r="W44" s="114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1</v>
      </c>
    </row>
    <row r="45" spans="1:43" s="106" customFormat="1" ht="12">
      <c r="A45" s="122" t="s">
        <v>79</v>
      </c>
      <c r="B45" s="123">
        <v>224925</v>
      </c>
      <c r="C45" s="123">
        <v>87203</v>
      </c>
      <c r="D45" s="123">
        <v>551529</v>
      </c>
      <c r="E45" s="123">
        <v>548209</v>
      </c>
      <c r="F45" s="123">
        <v>548243</v>
      </c>
      <c r="G45" s="123">
        <v>523968</v>
      </c>
      <c r="H45" s="123">
        <v>542897</v>
      </c>
      <c r="I45" s="123">
        <v>527096</v>
      </c>
      <c r="J45" s="123">
        <v>558923</v>
      </c>
      <c r="K45" s="123">
        <v>771644</v>
      </c>
      <c r="L45" s="123">
        <v>809571</v>
      </c>
      <c r="M45" s="123">
        <v>865551</v>
      </c>
      <c r="N45" s="123">
        <v>877928</v>
      </c>
      <c r="O45" s="123">
        <v>1009326</v>
      </c>
      <c r="P45" s="123">
        <v>1029095</v>
      </c>
      <c r="Q45" s="123">
        <v>1131531</v>
      </c>
      <c r="R45" s="123">
        <v>1489353</v>
      </c>
      <c r="S45" s="123">
        <v>1390415</v>
      </c>
      <c r="T45" s="123">
        <v>1398202</v>
      </c>
      <c r="U45" s="123">
        <v>1438962</v>
      </c>
      <c r="V45" s="123">
        <v>1574410</v>
      </c>
      <c r="W45" s="111">
        <v>1617362</v>
      </c>
      <c r="X45" s="123">
        <v>1643327</v>
      </c>
      <c r="Y45" s="123">
        <v>1671292.16027125</v>
      </c>
      <c r="Z45" s="123">
        <v>1699101.282447962</v>
      </c>
      <c r="AA45" s="123">
        <v>1726361.207972487</v>
      </c>
      <c r="AB45" s="123">
        <v>1754625.781008905</v>
      </c>
      <c r="AC45" s="123">
        <v>1784177.9193469246</v>
      </c>
      <c r="AD45" s="123">
        <v>1813936.5966273032</v>
      </c>
      <c r="AE45" s="123">
        <v>1846824.3302333308</v>
      </c>
      <c r="AF45" s="123">
        <v>1877416.3937609028</v>
      </c>
      <c r="AG45" s="123">
        <v>1906097.9491820734</v>
      </c>
      <c r="AH45" s="123">
        <v>1934273.4153726501</v>
      </c>
      <c r="AI45" s="123">
        <v>1966278.1694926403</v>
      </c>
      <c r="AJ45" s="123">
        <v>1994962.2659859655</v>
      </c>
      <c r="AK45" s="123">
        <v>2023026.988786235</v>
      </c>
      <c r="AL45" s="123">
        <v>2049719.5527851917</v>
      </c>
      <c r="AM45" s="123">
        <v>2078767.235380055</v>
      </c>
      <c r="AN45" s="123">
        <v>2109981.6355257407</v>
      </c>
      <c r="AO45" s="123">
        <v>2143521.9561142405</v>
      </c>
      <c r="AP45" s="123">
        <v>2179502.5949411234</v>
      </c>
      <c r="AQ45" s="123">
        <v>2286999.7800615304</v>
      </c>
    </row>
    <row r="46" spans="1:43" ht="12">
      <c r="A46" s="12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4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</row>
    <row r="47" spans="1:43" ht="12">
      <c r="A47" s="122" t="s">
        <v>133</v>
      </c>
      <c r="B47" s="112"/>
      <c r="C47" s="112"/>
      <c r="D47" s="112"/>
      <c r="E47" s="112"/>
      <c r="F47" s="112"/>
      <c r="G47" s="123">
        <v>9021</v>
      </c>
      <c r="H47" s="123">
        <v>21520</v>
      </c>
      <c r="I47" s="123">
        <v>17292</v>
      </c>
      <c r="J47" s="123">
        <v>26383</v>
      </c>
      <c r="K47" s="123">
        <v>39188</v>
      </c>
      <c r="L47" s="123">
        <v>29864</v>
      </c>
      <c r="M47" s="123">
        <v>26508</v>
      </c>
      <c r="N47" s="123">
        <v>27721</v>
      </c>
      <c r="O47" s="123">
        <v>33489</v>
      </c>
      <c r="P47" s="123">
        <v>29534</v>
      </c>
      <c r="Q47" s="123">
        <v>52459</v>
      </c>
      <c r="R47" s="123">
        <v>43018</v>
      </c>
      <c r="S47" s="123">
        <v>55169</v>
      </c>
      <c r="T47" s="123">
        <v>57925</v>
      </c>
      <c r="U47" s="123">
        <v>61479</v>
      </c>
      <c r="V47" s="123">
        <v>70875</v>
      </c>
      <c r="W47" s="111">
        <v>112860</v>
      </c>
      <c r="X47" s="123">
        <v>62877</v>
      </c>
      <c r="Y47" s="123">
        <v>67104</v>
      </c>
      <c r="Z47" s="123">
        <v>70496</v>
      </c>
      <c r="AA47" s="123">
        <v>70002</v>
      </c>
      <c r="AB47" s="123">
        <v>68575</v>
      </c>
      <c r="AC47" s="123">
        <v>66142</v>
      </c>
      <c r="AD47" s="123">
        <v>70787</v>
      </c>
      <c r="AE47" s="123">
        <v>68412</v>
      </c>
      <c r="AF47" s="123">
        <v>76013</v>
      </c>
      <c r="AG47" s="123">
        <v>72444</v>
      </c>
      <c r="AH47" s="123">
        <v>70389</v>
      </c>
      <c r="AI47" s="123">
        <v>71082</v>
      </c>
      <c r="AJ47" s="123">
        <v>71127</v>
      </c>
      <c r="AK47" s="123">
        <v>86559</v>
      </c>
      <c r="AL47" s="123">
        <v>74598</v>
      </c>
      <c r="AM47" s="123">
        <v>77239</v>
      </c>
      <c r="AN47" s="123">
        <v>79298</v>
      </c>
      <c r="AO47" s="123">
        <v>84648</v>
      </c>
      <c r="AP47" s="123">
        <v>87883</v>
      </c>
      <c r="AQ47" s="123">
        <v>155180</v>
      </c>
    </row>
    <row r="48" spans="1:43" ht="12">
      <c r="A48" s="122"/>
      <c r="B48" s="112"/>
      <c r="C48" s="112"/>
      <c r="D48" s="112"/>
      <c r="E48" s="112"/>
      <c r="F48" s="11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11"/>
      <c r="X48" s="123"/>
      <c r="Y48" s="123"/>
      <c r="Z48" s="123"/>
      <c r="AA48" s="123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</row>
    <row r="49" spans="1:43" ht="12">
      <c r="A49" s="121" t="s">
        <v>30</v>
      </c>
      <c r="B49" s="112"/>
      <c r="C49" s="112"/>
      <c r="D49" s="112"/>
      <c r="E49" s="112"/>
      <c r="F49" s="112"/>
      <c r="G49" s="112"/>
      <c r="H49" s="112"/>
      <c r="I49" s="112">
        <v>2085</v>
      </c>
      <c r="J49" s="112">
        <v>3471</v>
      </c>
      <c r="K49" s="128">
        <v>3742</v>
      </c>
      <c r="L49" s="128">
        <v>3254</v>
      </c>
      <c r="M49" s="128">
        <v>5448</v>
      </c>
      <c r="N49" s="128">
        <v>5175</v>
      </c>
      <c r="O49" s="128">
        <v>2804</v>
      </c>
      <c r="P49" s="128">
        <v>2556</v>
      </c>
      <c r="Q49" s="128">
        <v>2669</v>
      </c>
      <c r="R49" s="128">
        <v>2999</v>
      </c>
      <c r="S49" s="128">
        <v>3386</v>
      </c>
      <c r="T49" s="128">
        <v>3334</v>
      </c>
      <c r="U49" s="128">
        <v>4236</v>
      </c>
      <c r="V49" s="128">
        <v>4800</v>
      </c>
      <c r="W49" s="132">
        <v>8128</v>
      </c>
      <c r="X49" s="128">
        <v>3872</v>
      </c>
      <c r="Y49" s="128">
        <v>3804.0251530115356</v>
      </c>
      <c r="Z49" s="128">
        <v>4148.823596319216</v>
      </c>
      <c r="AA49" s="128">
        <v>5185.6348104548015</v>
      </c>
      <c r="AB49" s="128">
        <v>6686.909467863131</v>
      </c>
      <c r="AC49" s="128">
        <v>8062.343211145163</v>
      </c>
      <c r="AD49" s="128">
        <v>9391.797667928047</v>
      </c>
      <c r="AE49" s="128">
        <v>9087.528112840682</v>
      </c>
      <c r="AF49" s="128">
        <v>8057.113181983664</v>
      </c>
      <c r="AG49" s="128">
        <v>32101.403530802774</v>
      </c>
      <c r="AH49" s="128">
        <v>11337.217690774678</v>
      </c>
      <c r="AI49" s="128">
        <v>10913.890838660629</v>
      </c>
      <c r="AJ49" s="128">
        <v>9666.458233181533</v>
      </c>
      <c r="AK49" s="128">
        <v>8754.093905983074</v>
      </c>
      <c r="AL49" s="128">
        <v>9438.608196342193</v>
      </c>
      <c r="AM49" s="128">
        <v>8788.65222165463</v>
      </c>
      <c r="AN49" s="128">
        <v>9128.401579271274</v>
      </c>
      <c r="AO49" s="128">
        <v>8108.607258341021</v>
      </c>
      <c r="AP49" s="128">
        <v>3519.2775304338634</v>
      </c>
      <c r="AQ49" s="128">
        <v>2350.058673814551</v>
      </c>
    </row>
    <row r="50" spans="1:43" ht="12">
      <c r="A50" s="121" t="s">
        <v>31</v>
      </c>
      <c r="B50" s="112"/>
      <c r="C50" s="112"/>
      <c r="D50" s="112"/>
      <c r="E50" s="112"/>
      <c r="F50" s="112"/>
      <c r="G50" s="112"/>
      <c r="H50" s="112"/>
      <c r="I50" s="112">
        <v>2750</v>
      </c>
      <c r="J50" s="112">
        <v>2464</v>
      </c>
      <c r="K50" s="112">
        <v>4748</v>
      </c>
      <c r="L50" s="112">
        <v>2254</v>
      </c>
      <c r="M50" s="112">
        <v>5448</v>
      </c>
      <c r="N50" s="112">
        <v>5175</v>
      </c>
      <c r="O50" s="128">
        <v>0</v>
      </c>
      <c r="P50" s="112">
        <v>1557</v>
      </c>
      <c r="Q50" s="112">
        <v>1669</v>
      </c>
      <c r="R50" s="112">
        <v>1998</v>
      </c>
      <c r="S50" s="112">
        <v>2386</v>
      </c>
      <c r="T50" s="112">
        <v>2379</v>
      </c>
      <c r="U50" s="112">
        <v>29145</v>
      </c>
      <c r="V50" s="112">
        <v>3800</v>
      </c>
      <c r="W50" s="114">
        <v>23128</v>
      </c>
      <c r="X50" s="112">
        <v>3872</v>
      </c>
      <c r="Y50" s="112">
        <v>6804</v>
      </c>
      <c r="Z50" s="112">
        <v>12149</v>
      </c>
      <c r="AA50" s="112">
        <v>12186</v>
      </c>
      <c r="AB50" s="112">
        <v>9687</v>
      </c>
      <c r="AC50" s="112">
        <v>8062</v>
      </c>
      <c r="AD50" s="112">
        <v>9392</v>
      </c>
      <c r="AE50" s="112">
        <v>2088</v>
      </c>
      <c r="AF50" s="112">
        <v>10057</v>
      </c>
      <c r="AG50" s="112">
        <v>30101</v>
      </c>
      <c r="AH50" s="112">
        <v>8337</v>
      </c>
      <c r="AI50" s="112">
        <v>0</v>
      </c>
      <c r="AJ50" s="112">
        <v>0</v>
      </c>
      <c r="AK50" s="112">
        <v>14754</v>
      </c>
      <c r="AL50" s="112">
        <v>2439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</row>
    <row r="51" spans="1:43" ht="12">
      <c r="A51" s="122" t="s">
        <v>134</v>
      </c>
      <c r="B51" s="112"/>
      <c r="C51" s="112"/>
      <c r="D51" s="112"/>
      <c r="E51" s="112"/>
      <c r="F51" s="112"/>
      <c r="G51" s="123"/>
      <c r="H51" s="123"/>
      <c r="I51" s="123">
        <v>665</v>
      </c>
      <c r="J51" s="123">
        <v>-1007</v>
      </c>
      <c r="K51" s="123">
        <v>1006</v>
      </c>
      <c r="L51" s="123">
        <v>-1000</v>
      </c>
      <c r="M51" s="123">
        <v>0</v>
      </c>
      <c r="N51" s="123">
        <v>0</v>
      </c>
      <c r="O51" s="123">
        <v>-2804</v>
      </c>
      <c r="P51" s="123">
        <v>-1000</v>
      </c>
      <c r="Q51" s="123">
        <v>-1000</v>
      </c>
      <c r="R51" s="123">
        <v>-1001</v>
      </c>
      <c r="S51" s="123">
        <v>-1000</v>
      </c>
      <c r="T51" s="123">
        <v>-955</v>
      </c>
      <c r="U51" s="123">
        <v>24909</v>
      </c>
      <c r="V51" s="123">
        <v>-1000</v>
      </c>
      <c r="W51" s="111">
        <v>15000</v>
      </c>
      <c r="X51" s="123">
        <v>0</v>
      </c>
      <c r="Y51" s="123">
        <v>2999.9748469884644</v>
      </c>
      <c r="Z51" s="123">
        <v>8000.176403680784</v>
      </c>
      <c r="AA51" s="123">
        <v>7000.3651895451985</v>
      </c>
      <c r="AB51" s="123">
        <v>3000.090532136869</v>
      </c>
      <c r="AC51" s="123">
        <v>-0.343211145162968</v>
      </c>
      <c r="AD51" s="123">
        <v>0.20233207195269642</v>
      </c>
      <c r="AE51" s="123">
        <v>-6999.528112840682</v>
      </c>
      <c r="AF51" s="123">
        <v>1999.8868180163363</v>
      </c>
      <c r="AG51" s="123">
        <v>-2000.4035308027742</v>
      </c>
      <c r="AH51" s="123">
        <v>-3000.217690774678</v>
      </c>
      <c r="AI51" s="123">
        <v>-10913.890838660629</v>
      </c>
      <c r="AJ51" s="123">
        <v>-9666.458233181533</v>
      </c>
      <c r="AK51" s="123">
        <v>5999.906094016926</v>
      </c>
      <c r="AL51" s="123">
        <v>-6999.608196342193</v>
      </c>
      <c r="AM51" s="123">
        <v>-8788.65222165463</v>
      </c>
      <c r="AN51" s="123">
        <v>-9128.401579271274</v>
      </c>
      <c r="AO51" s="123">
        <v>-8108.607258341021</v>
      </c>
      <c r="AP51" s="123">
        <v>-3519.2775304338634</v>
      </c>
      <c r="AQ51" s="123">
        <v>-2350.058673814551</v>
      </c>
    </row>
    <row r="52" spans="1:43" ht="12">
      <c r="A52" s="12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4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</row>
    <row r="53" spans="1:43" ht="12">
      <c r="A53" s="133" t="s">
        <v>35</v>
      </c>
      <c r="B53" s="134"/>
      <c r="C53" s="134"/>
      <c r="D53" s="134"/>
      <c r="E53" s="134"/>
      <c r="F53" s="134"/>
      <c r="G53" s="112"/>
      <c r="H53" s="112"/>
      <c r="I53" s="112">
        <v>-877</v>
      </c>
      <c r="J53" s="112">
        <v>-456</v>
      </c>
      <c r="K53" s="112">
        <v>206</v>
      </c>
      <c r="L53" s="112">
        <v>-84</v>
      </c>
      <c r="M53" s="112">
        <v>818</v>
      </c>
      <c r="N53" s="112">
        <v>-2464</v>
      </c>
      <c r="O53" s="112">
        <v>-2859</v>
      </c>
      <c r="P53" s="112">
        <v>8356</v>
      </c>
      <c r="Q53" s="112">
        <v>-48</v>
      </c>
      <c r="R53" s="112">
        <v>-1096</v>
      </c>
      <c r="S53" s="112">
        <v>2330</v>
      </c>
      <c r="T53" s="112">
        <v>2583</v>
      </c>
      <c r="U53" s="112">
        <v>330</v>
      </c>
      <c r="V53" s="112">
        <v>83</v>
      </c>
      <c r="W53" s="114">
        <v>755</v>
      </c>
      <c r="X53" s="112">
        <v>523.1850000000001</v>
      </c>
      <c r="Y53" s="112">
        <v>549.867435</v>
      </c>
      <c r="Z53" s="112">
        <v>577.910674185</v>
      </c>
      <c r="AA53" s="112">
        <v>607.3841185684349</v>
      </c>
      <c r="AB53" s="112">
        <v>638.3607086154251</v>
      </c>
      <c r="AC53" s="112">
        <v>670.9171047548117</v>
      </c>
      <c r="AD53" s="112">
        <v>705.1338770973072</v>
      </c>
      <c r="AE53" s="112">
        <v>741.0957048292697</v>
      </c>
      <c r="AF53" s="112">
        <v>778.8915857755625</v>
      </c>
      <c r="AG53" s="112">
        <v>818.615056650116</v>
      </c>
      <c r="AH53" s="112">
        <v>860.3644245392719</v>
      </c>
      <c r="AI53" s="112">
        <v>904.2430101907747</v>
      </c>
      <c r="AJ53" s="112">
        <v>950.3594037105041</v>
      </c>
      <c r="AK53" s="112">
        <v>998.8277332997397</v>
      </c>
      <c r="AL53" s="112">
        <v>1049.7679476980263</v>
      </c>
      <c r="AM53" s="112">
        <v>1103.3061130306257</v>
      </c>
      <c r="AN53" s="112">
        <v>1159.5747247951874</v>
      </c>
      <c r="AO53" s="112">
        <v>1218.713035759742</v>
      </c>
      <c r="AP53" s="112">
        <v>1280.867400583489</v>
      </c>
      <c r="AQ53" s="112">
        <v>1346.1916380132468</v>
      </c>
    </row>
    <row r="54" spans="1:43" ht="12">
      <c r="A54" s="135">
        <v>0.005</v>
      </c>
      <c r="B54" s="136"/>
      <c r="C54" s="136"/>
      <c r="D54" s="136"/>
      <c r="E54" s="136"/>
      <c r="F54" s="136"/>
      <c r="G54" s="136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4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</row>
    <row r="55" spans="1:43" ht="12">
      <c r="A55" s="137" t="s">
        <v>41</v>
      </c>
      <c r="B55" s="136"/>
      <c r="C55" s="136"/>
      <c r="D55" s="136"/>
      <c r="E55" s="136"/>
      <c r="F55" s="136"/>
      <c r="G55" s="136"/>
      <c r="H55" s="112"/>
      <c r="I55" s="112"/>
      <c r="J55" s="112">
        <v>2905</v>
      </c>
      <c r="K55" s="112">
        <v>0</v>
      </c>
      <c r="L55" s="112">
        <v>0</v>
      </c>
      <c r="M55" s="112"/>
      <c r="N55" s="112"/>
      <c r="O55" s="112"/>
      <c r="P55" s="112">
        <v>0</v>
      </c>
      <c r="Q55" s="112"/>
      <c r="R55" s="112"/>
      <c r="S55" s="112"/>
      <c r="T55" s="112"/>
      <c r="U55" s="112"/>
      <c r="V55" s="112">
        <v>-4875</v>
      </c>
      <c r="W55" s="114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</row>
    <row r="56" spans="1:43" ht="12">
      <c r="A56" s="121" t="s">
        <v>119</v>
      </c>
      <c r="B56" s="112"/>
      <c r="C56" s="112"/>
      <c r="D56" s="112"/>
      <c r="E56" s="112"/>
      <c r="F56" s="112"/>
      <c r="G56" s="112"/>
      <c r="H56" s="127"/>
      <c r="I56" s="112">
        <v>2493</v>
      </c>
      <c r="J56" s="112"/>
      <c r="K56" s="112">
        <v>0</v>
      </c>
      <c r="L56" s="112">
        <v>1211</v>
      </c>
      <c r="M56" s="112"/>
      <c r="N56" s="112">
        <v>-241</v>
      </c>
      <c r="O56" s="112">
        <v>0</v>
      </c>
      <c r="P56" s="112">
        <v>-84</v>
      </c>
      <c r="Q56" s="112">
        <v>-2738</v>
      </c>
      <c r="R56" s="112"/>
      <c r="S56" s="112">
        <v>17015</v>
      </c>
      <c r="T56" s="112">
        <v>-11429</v>
      </c>
      <c r="U56" s="112">
        <v>13562</v>
      </c>
      <c r="V56" s="112">
        <v>0</v>
      </c>
      <c r="W56" s="114">
        <v>-402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</row>
    <row r="57" spans="1:43" ht="12">
      <c r="A57" s="121"/>
      <c r="B57" s="112"/>
      <c r="C57" s="112"/>
      <c r="D57" s="112"/>
      <c r="E57" s="112"/>
      <c r="F57" s="112"/>
      <c r="G57" s="112"/>
      <c r="H57" s="127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4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</row>
    <row r="58" spans="1:43" s="106" customFormat="1" ht="12">
      <c r="A58" s="122" t="s">
        <v>32</v>
      </c>
      <c r="B58" s="123">
        <v>-731</v>
      </c>
      <c r="C58" s="123">
        <v>4697</v>
      </c>
      <c r="D58" s="123">
        <v>-2221</v>
      </c>
      <c r="E58" s="123">
        <v>4533</v>
      </c>
      <c r="F58" s="123">
        <v>-548</v>
      </c>
      <c r="G58" s="123">
        <v>18</v>
      </c>
      <c r="H58" s="123">
        <v>-602</v>
      </c>
      <c r="I58" s="123">
        <v>6130</v>
      </c>
      <c r="J58" s="123">
        <v>-1166</v>
      </c>
      <c r="K58" s="123">
        <v>5296</v>
      </c>
      <c r="L58" s="123">
        <v>-925</v>
      </c>
      <c r="M58" s="123">
        <v>17</v>
      </c>
      <c r="N58" s="123">
        <v>6998</v>
      </c>
      <c r="O58" s="123">
        <v>5681</v>
      </c>
      <c r="P58" s="123">
        <v>10154</v>
      </c>
      <c r="Q58" s="123">
        <v>-6190</v>
      </c>
      <c r="R58" s="123">
        <v>3219</v>
      </c>
      <c r="S58" s="123">
        <v>322</v>
      </c>
      <c r="T58" s="123">
        <v>-14538</v>
      </c>
      <c r="U58" s="123">
        <v>22201</v>
      </c>
      <c r="V58" s="123">
        <v>-1823</v>
      </c>
      <c r="W58" s="111">
        <v>-22681</v>
      </c>
      <c r="X58" s="123">
        <v>-4402.185</v>
      </c>
      <c r="Y58" s="123">
        <v>-2358.772316761534</v>
      </c>
      <c r="Z58" s="123">
        <v>423.5463062078717</v>
      </c>
      <c r="AA58" s="123">
        <v>747.591331501587</v>
      </c>
      <c r="AB58" s="123">
        <v>623.0149853795775</v>
      </c>
      <c r="AC58" s="123">
        <v>2849.3786325771607</v>
      </c>
      <c r="AD58" s="123">
        <v>-91.85362977085435</v>
      </c>
      <c r="AE58" s="123">
        <v>106.96644862860887</v>
      </c>
      <c r="AF58" s="123">
        <v>906.4696864946567</v>
      </c>
      <c r="AG58" s="123">
        <v>329.244197466724</v>
      </c>
      <c r="AH58" s="123">
        <v>2712.379733561805</v>
      </c>
      <c r="AI58" s="123">
        <v>-156.74424423033167</v>
      </c>
      <c r="AJ58" s="123">
        <v>-291.6202395506672</v>
      </c>
      <c r="AK58" s="123">
        <v>1385.786101163622</v>
      </c>
      <c r="AL58" s="123">
        <v>1118.6921927003243</v>
      </c>
      <c r="AM58" s="123">
        <v>1273.7287714733004</v>
      </c>
      <c r="AN58" s="123">
        <v>3359.3885333663857</v>
      </c>
      <c r="AO58" s="123">
        <v>3765.003573815919</v>
      </c>
      <c r="AP58" s="123">
        <v>10041.377306459235</v>
      </c>
      <c r="AQ58" s="123">
        <v>18009.453555596803</v>
      </c>
    </row>
    <row r="59" spans="1:43" ht="12">
      <c r="A59" s="121" t="s">
        <v>33</v>
      </c>
      <c r="B59" s="112">
        <v>9604</v>
      </c>
      <c r="C59" s="112">
        <v>8873</v>
      </c>
      <c r="D59" s="112">
        <v>13570</v>
      </c>
      <c r="E59" s="112">
        <v>11349</v>
      </c>
      <c r="F59" s="112">
        <v>15882</v>
      </c>
      <c r="G59" s="112">
        <v>15334</v>
      </c>
      <c r="H59" s="112">
        <v>15352</v>
      </c>
      <c r="I59" s="112">
        <v>14750</v>
      </c>
      <c r="J59" s="112">
        <v>20880</v>
      </c>
      <c r="K59" s="112">
        <v>19714</v>
      </c>
      <c r="L59" s="112">
        <v>25010</v>
      </c>
      <c r="M59" s="112">
        <v>24085</v>
      </c>
      <c r="N59" s="112">
        <v>24102</v>
      </c>
      <c r="O59" s="112">
        <v>31100</v>
      </c>
      <c r="P59" s="112">
        <v>36781</v>
      </c>
      <c r="Q59" s="112">
        <v>46935</v>
      </c>
      <c r="R59" s="112">
        <v>40745</v>
      </c>
      <c r="S59" s="112">
        <v>43964</v>
      </c>
      <c r="T59" s="112">
        <v>44286</v>
      </c>
      <c r="U59" s="112">
        <v>29748</v>
      </c>
      <c r="V59" s="112">
        <v>51949</v>
      </c>
      <c r="W59" s="114">
        <v>50126</v>
      </c>
      <c r="X59" s="112">
        <v>27445</v>
      </c>
      <c r="Y59" s="112">
        <v>23042.815</v>
      </c>
      <c r="Z59" s="112">
        <v>20684.042683238466</v>
      </c>
      <c r="AA59" s="112">
        <v>21107.588989446336</v>
      </c>
      <c r="AB59" s="112">
        <v>21855.180320947922</v>
      </c>
      <c r="AC59" s="112">
        <v>22478.1953063275</v>
      </c>
      <c r="AD59" s="112">
        <v>25327.57393890466</v>
      </c>
      <c r="AE59" s="112">
        <v>25235.720309133805</v>
      </c>
      <c r="AF59" s="112">
        <v>25342.686757762414</v>
      </c>
      <c r="AG59" s="112">
        <v>26249.15644425707</v>
      </c>
      <c r="AH59" s="112">
        <v>26578.400641723794</v>
      </c>
      <c r="AI59" s="112">
        <v>29290.780375285598</v>
      </c>
      <c r="AJ59" s="112">
        <v>29134.036131055265</v>
      </c>
      <c r="AK59" s="112">
        <v>28842.4158915046</v>
      </c>
      <c r="AL59" s="112">
        <v>30228.201992668222</v>
      </c>
      <c r="AM59" s="112">
        <v>31346.894185368546</v>
      </c>
      <c r="AN59" s="112">
        <v>32620.622956841846</v>
      </c>
      <c r="AO59" s="112">
        <v>35980.01149020823</v>
      </c>
      <c r="AP59" s="112">
        <v>39745.01506402415</v>
      </c>
      <c r="AQ59" s="112">
        <v>49786.39237048339</v>
      </c>
    </row>
    <row r="60" spans="1:43" s="106" customFormat="1" ht="12">
      <c r="A60" s="122" t="s">
        <v>34</v>
      </c>
      <c r="B60" s="123">
        <v>8873</v>
      </c>
      <c r="C60" s="123">
        <v>13570</v>
      </c>
      <c r="D60" s="123">
        <v>11349</v>
      </c>
      <c r="E60" s="123">
        <v>15882</v>
      </c>
      <c r="F60" s="123">
        <v>15334</v>
      </c>
      <c r="G60" s="123">
        <v>15352</v>
      </c>
      <c r="H60" s="123">
        <v>14750</v>
      </c>
      <c r="I60" s="123">
        <v>20880</v>
      </c>
      <c r="J60" s="123">
        <v>19714</v>
      </c>
      <c r="K60" s="123">
        <v>25010</v>
      </c>
      <c r="L60" s="123">
        <v>24085</v>
      </c>
      <c r="M60" s="123">
        <v>24102</v>
      </c>
      <c r="N60" s="123">
        <v>31100</v>
      </c>
      <c r="O60" s="123">
        <v>36781</v>
      </c>
      <c r="P60" s="123">
        <v>46935</v>
      </c>
      <c r="Q60" s="123">
        <v>40745</v>
      </c>
      <c r="R60" s="123">
        <v>43964</v>
      </c>
      <c r="S60" s="123">
        <v>44286</v>
      </c>
      <c r="T60" s="123">
        <v>29748</v>
      </c>
      <c r="U60" s="123">
        <v>51949</v>
      </c>
      <c r="V60" s="130">
        <v>50126</v>
      </c>
      <c r="W60" s="130">
        <v>27445</v>
      </c>
      <c r="X60" s="130">
        <v>23042.815</v>
      </c>
      <c r="Y60" s="130">
        <v>20684.042683238466</v>
      </c>
      <c r="Z60" s="130">
        <v>21107.588989446336</v>
      </c>
      <c r="AA60" s="130">
        <v>21855.180320947922</v>
      </c>
      <c r="AB60" s="130">
        <v>22478.1953063275</v>
      </c>
      <c r="AC60" s="130">
        <v>25327.57393890466</v>
      </c>
      <c r="AD60" s="130">
        <v>25235.720309133805</v>
      </c>
      <c r="AE60" s="130">
        <v>25342.686757762414</v>
      </c>
      <c r="AF60" s="130">
        <v>26249.15644425707</v>
      </c>
      <c r="AG60" s="130">
        <v>26578.400641723794</v>
      </c>
      <c r="AH60" s="130">
        <v>29290.780375285598</v>
      </c>
      <c r="AI60" s="130">
        <v>29134.036131055265</v>
      </c>
      <c r="AJ60" s="130">
        <v>28842.4158915046</v>
      </c>
      <c r="AK60" s="130">
        <v>30228.201992668222</v>
      </c>
      <c r="AL60" s="130">
        <v>31346.894185368546</v>
      </c>
      <c r="AM60" s="130">
        <v>32620.622956841846</v>
      </c>
      <c r="AN60" s="130">
        <v>35980.01149020823</v>
      </c>
      <c r="AO60" s="130">
        <v>39745.01506402415</v>
      </c>
      <c r="AP60" s="130">
        <v>49786.39237048339</v>
      </c>
      <c r="AQ60" s="130">
        <v>67795.84592608019</v>
      </c>
    </row>
    <row r="61" spans="1:43" s="106" customFormat="1" ht="12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11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</row>
    <row r="62" spans="1:43" s="106" customFormat="1" ht="12">
      <c r="A62" s="122" t="s">
        <v>459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11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</row>
    <row r="63" spans="1:43" s="106" customFormat="1" ht="12">
      <c r="A63" s="121" t="s">
        <v>262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>
        <v>1114</v>
      </c>
      <c r="W63" s="111">
        <v>5296</v>
      </c>
      <c r="X63" s="123">
        <v>5296</v>
      </c>
      <c r="Y63" s="123">
        <v>5296</v>
      </c>
      <c r="Z63" s="123">
        <v>5296</v>
      </c>
      <c r="AA63" s="123">
        <v>5296</v>
      </c>
      <c r="AB63" s="123">
        <v>5296</v>
      </c>
      <c r="AC63" s="123">
        <v>5296</v>
      </c>
      <c r="AD63" s="123">
        <v>5296</v>
      </c>
      <c r="AE63" s="123">
        <v>5296</v>
      </c>
      <c r="AF63" s="123">
        <v>5296</v>
      </c>
      <c r="AG63" s="123">
        <v>5296</v>
      </c>
      <c r="AH63" s="123">
        <v>5296</v>
      </c>
      <c r="AI63" s="123">
        <v>5296</v>
      </c>
      <c r="AJ63" s="123">
        <v>5296</v>
      </c>
      <c r="AK63" s="123">
        <v>5296</v>
      </c>
      <c r="AL63" s="123">
        <v>5296</v>
      </c>
      <c r="AM63" s="123">
        <v>5296</v>
      </c>
      <c r="AN63" s="123">
        <v>5296</v>
      </c>
      <c r="AO63" s="123">
        <v>5296</v>
      </c>
      <c r="AP63" s="123">
        <v>5296</v>
      </c>
      <c r="AQ63" s="123">
        <v>5296</v>
      </c>
    </row>
    <row r="64" spans="1:43" s="106" customFormat="1" ht="12">
      <c r="A64" s="120" t="s">
        <v>451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12">
        <v>203</v>
      </c>
      <c r="W64" s="111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</row>
    <row r="65" spans="1:43" s="106" customFormat="1" ht="11.25">
      <c r="A65" s="120" t="s">
        <v>452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12">
        <v>3253</v>
      </c>
      <c r="W65" s="111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</row>
    <row r="66" spans="1:43" s="106" customFormat="1" ht="11.25">
      <c r="A66" s="120" t="s">
        <v>453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12">
        <v>-3</v>
      </c>
      <c r="W66" s="111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</row>
    <row r="67" spans="1:43" s="106" customFormat="1" ht="11.25">
      <c r="A67" s="120" t="s">
        <v>454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12">
        <v>41</v>
      </c>
      <c r="W67" s="111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</row>
    <row r="68" spans="1:43" s="106" customFormat="1" ht="11.25">
      <c r="A68" s="120" t="s">
        <v>455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12">
        <v>688</v>
      </c>
      <c r="W68" s="111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</row>
    <row r="69" spans="1:43" s="106" customFormat="1" ht="11.25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11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</row>
    <row r="70" spans="1:43" s="106" customFormat="1" ht="11.25">
      <c r="A70" s="122" t="s">
        <v>259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>
        <v>5296</v>
      </c>
      <c r="W70" s="111">
        <v>5296</v>
      </c>
      <c r="X70" s="123">
        <v>5296</v>
      </c>
      <c r="Y70" s="123">
        <v>5296</v>
      </c>
      <c r="Z70" s="123">
        <v>5296</v>
      </c>
      <c r="AA70" s="123">
        <v>5296</v>
      </c>
      <c r="AB70" s="123">
        <v>5296</v>
      </c>
      <c r="AC70" s="123">
        <v>5296</v>
      </c>
      <c r="AD70" s="123">
        <v>5296</v>
      </c>
      <c r="AE70" s="123">
        <v>5296</v>
      </c>
      <c r="AF70" s="123">
        <v>5296</v>
      </c>
      <c r="AG70" s="123">
        <v>5296</v>
      </c>
      <c r="AH70" s="123">
        <v>5296</v>
      </c>
      <c r="AI70" s="123">
        <v>5296</v>
      </c>
      <c r="AJ70" s="123">
        <v>5296</v>
      </c>
      <c r="AK70" s="123">
        <v>5296</v>
      </c>
      <c r="AL70" s="123">
        <v>5296</v>
      </c>
      <c r="AM70" s="123">
        <v>5296</v>
      </c>
      <c r="AN70" s="123">
        <v>5296</v>
      </c>
      <c r="AO70" s="123">
        <v>5296</v>
      </c>
      <c r="AP70" s="123">
        <v>5296</v>
      </c>
      <c r="AQ70" s="123">
        <v>5296</v>
      </c>
    </row>
    <row r="71" spans="1:43" s="106" customFormat="1" ht="11.25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11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</row>
    <row r="72" spans="1:43" s="106" customFormat="1" ht="11.25">
      <c r="A72" s="122" t="s">
        <v>260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38">
        <v>44830</v>
      </c>
      <c r="W72" s="138">
        <v>22149</v>
      </c>
      <c r="X72" s="138">
        <v>17746.815</v>
      </c>
      <c r="Y72" s="138">
        <v>15388.042683238466</v>
      </c>
      <c r="Z72" s="138">
        <v>15811.588989446336</v>
      </c>
      <c r="AA72" s="138">
        <v>16559.180320947922</v>
      </c>
      <c r="AB72" s="138">
        <v>17182.1953063275</v>
      </c>
      <c r="AC72" s="138">
        <v>20031.57393890466</v>
      </c>
      <c r="AD72" s="138">
        <v>19939.720309133805</v>
      </c>
      <c r="AE72" s="138">
        <v>20046.686757762414</v>
      </c>
      <c r="AF72" s="138">
        <v>20953.15644425707</v>
      </c>
      <c r="AG72" s="138">
        <v>21282.400641723794</v>
      </c>
      <c r="AH72" s="138">
        <v>23994.780375285598</v>
      </c>
      <c r="AI72" s="138">
        <v>23838.036131055265</v>
      </c>
      <c r="AJ72" s="138">
        <v>23546.4158915046</v>
      </c>
      <c r="AK72" s="138">
        <v>24932.201992668222</v>
      </c>
      <c r="AL72" s="138">
        <v>26050.894185368546</v>
      </c>
      <c r="AM72" s="138">
        <v>27324.622956841846</v>
      </c>
      <c r="AN72" s="138">
        <v>30684.011490208228</v>
      </c>
      <c r="AO72" s="138">
        <v>34449.01506402415</v>
      </c>
      <c r="AP72" s="138">
        <v>44490.39237048339</v>
      </c>
      <c r="AQ72" s="138">
        <v>62499.84592608019</v>
      </c>
    </row>
    <row r="73" spans="1:43" s="106" customFormat="1" ht="11.25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11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</row>
    <row r="74" spans="1:43" s="106" customFormat="1" ht="11.25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11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</row>
    <row r="75" spans="1:43" ht="12.75" customHeight="1">
      <c r="A75" s="114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4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</row>
    <row r="76" spans="1:43" ht="12.75" customHeight="1">
      <c r="A76" s="114" t="s">
        <v>100</v>
      </c>
      <c r="B76" s="112">
        <v>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4">
        <v>18901</v>
      </c>
      <c r="X76" s="112">
        <v>19792.518477395835</v>
      </c>
      <c r="Y76" s="112">
        <v>20657.20961960732</v>
      </c>
      <c r="Z76" s="112">
        <v>21254.775225253095</v>
      </c>
      <c r="AA76" s="112">
        <v>21790.146976984688</v>
      </c>
      <c r="AB76" s="112">
        <v>22241.89714479364</v>
      </c>
      <c r="AC76" s="112">
        <v>23285.0824991518</v>
      </c>
      <c r="AD76" s="112">
        <v>23783.205524049932</v>
      </c>
      <c r="AE76" s="112">
        <v>25091.990890843048</v>
      </c>
      <c r="AF76" s="112">
        <v>25507.979184699874</v>
      </c>
      <c r="AG76" s="112">
        <v>26208.844429786277</v>
      </c>
      <c r="AH76" s="112">
        <v>27053.703771227727</v>
      </c>
      <c r="AI76" s="112">
        <v>27826.203634103582</v>
      </c>
      <c r="AJ76" s="112">
        <v>29925.28813500775</v>
      </c>
      <c r="AK76" s="112">
        <v>29883.60805146105</v>
      </c>
      <c r="AL76" s="112">
        <v>31011.489964210472</v>
      </c>
      <c r="AM76" s="112">
        <v>32119.930867200674</v>
      </c>
      <c r="AN76" s="112">
        <v>33543.26839174778</v>
      </c>
      <c r="AO76" s="112">
        <v>34839.99420532205</v>
      </c>
      <c r="AP76" s="112">
        <v>36581.99391558816</v>
      </c>
      <c r="AQ76" s="112">
        <v>38411.09361136757</v>
      </c>
    </row>
    <row r="77" spans="1:43" ht="11.25">
      <c r="A77" s="114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24"/>
      <c r="R77" s="124"/>
      <c r="S77" s="124"/>
      <c r="T77" s="112"/>
      <c r="U77" s="112"/>
      <c r="V77" s="124"/>
      <c r="W77" s="114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</row>
    <row r="78" spans="1:43" ht="11.25">
      <c r="A78" s="114" t="s">
        <v>261</v>
      </c>
      <c r="B78" s="113">
        <v>1.9080717488789238</v>
      </c>
      <c r="C78" s="113">
        <v>2.244630541871921</v>
      </c>
      <c r="D78" s="113">
        <v>1.248202614379085</v>
      </c>
      <c r="E78" s="113">
        <v>1.2018582156039201</v>
      </c>
      <c r="F78" s="113">
        <v>1.960992236318879</v>
      </c>
      <c r="G78" s="113">
        <v>1.718919376693767</v>
      </c>
      <c r="H78" s="113">
        <v>1.4859410275706368</v>
      </c>
      <c r="I78" s="113">
        <v>1.6828320802005012</v>
      </c>
      <c r="J78" s="113">
        <v>1.3569949561985666</v>
      </c>
      <c r="K78" s="113">
        <v>1.8036742192284139</v>
      </c>
      <c r="L78" s="113">
        <v>1.6392991520188689</v>
      </c>
      <c r="M78" s="113">
        <v>1.626844130853111</v>
      </c>
      <c r="N78" s="113">
        <v>2.0562983814215343</v>
      </c>
      <c r="O78" s="113">
        <v>2.0420529801324503</v>
      </c>
      <c r="P78" s="113">
        <v>2.5297447795823667</v>
      </c>
      <c r="Q78" s="113">
        <v>2.4913757909777505</v>
      </c>
      <c r="R78" s="113">
        <v>2.355864291624929</v>
      </c>
      <c r="S78" s="113">
        <v>1.5397316514443817</v>
      </c>
      <c r="T78" s="113">
        <v>1.8966657481399836</v>
      </c>
      <c r="U78" s="113">
        <v>2.326820738938726</v>
      </c>
      <c r="V78" s="113">
        <v>1.8317444219066936</v>
      </c>
      <c r="W78" s="139">
        <v>1.0897027778708575</v>
      </c>
      <c r="X78" s="113">
        <v>1.1223391108504017</v>
      </c>
      <c r="Y78" s="113">
        <v>1.0374372922206696</v>
      </c>
      <c r="Z78" s="113">
        <v>1.034680121668131</v>
      </c>
      <c r="AA78" s="113">
        <v>1.0276959576160993</v>
      </c>
      <c r="AB78" s="113">
        <v>1.0225863008255036</v>
      </c>
      <c r="AC78" s="113">
        <v>1.0920506618092845</v>
      </c>
      <c r="AD78" s="113">
        <v>1.1227480777117749</v>
      </c>
      <c r="AE78" s="113">
        <v>1.1900915855127727</v>
      </c>
      <c r="AF78" s="113">
        <v>0.6896949669228335</v>
      </c>
      <c r="AG78" s="113">
        <v>1.1577063380494415</v>
      </c>
      <c r="AH78" s="113">
        <v>1.2822227476923385</v>
      </c>
      <c r="AI78" s="113">
        <v>1.3570116632194456</v>
      </c>
      <c r="AJ78" s="113">
        <v>1.4192658347129088</v>
      </c>
      <c r="AK78" s="113">
        <v>1.4646251420482894</v>
      </c>
      <c r="AL78" s="113">
        <v>1.5669211549806383</v>
      </c>
      <c r="AM78" s="113">
        <v>1.6267289042628401</v>
      </c>
      <c r="AN78" s="113">
        <v>1.8338766212679345</v>
      </c>
      <c r="AO78" s="113">
        <v>2.3648995954233647</v>
      </c>
      <c r="AP78" s="113">
        <v>2.9502848254769143</v>
      </c>
      <c r="AQ78" s="113">
        <v>3.754631303745518</v>
      </c>
    </row>
    <row r="79" spans="1:43" ht="11.25">
      <c r="A79" s="114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24"/>
      <c r="R79" s="124"/>
      <c r="S79" s="124"/>
      <c r="T79" s="112"/>
      <c r="U79" s="112"/>
      <c r="V79" s="124"/>
      <c r="W79" s="114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</row>
    <row r="80" spans="1:43" ht="11.25">
      <c r="A80" s="111" t="s">
        <v>163</v>
      </c>
      <c r="B80" s="114"/>
      <c r="C80" s="111">
        <v>13570</v>
      </c>
      <c r="D80" s="111">
        <v>11349</v>
      </c>
      <c r="E80" s="111">
        <v>15882</v>
      </c>
      <c r="F80" s="111">
        <v>15334</v>
      </c>
      <c r="G80" s="111">
        <v>15352</v>
      </c>
      <c r="H80" s="111">
        <v>14750</v>
      </c>
      <c r="I80" s="111">
        <v>20880</v>
      </c>
      <c r="J80" s="111">
        <v>19714</v>
      </c>
      <c r="K80" s="111">
        <v>25010</v>
      </c>
      <c r="L80" s="111">
        <v>24085</v>
      </c>
      <c r="M80" s="111">
        <v>24102</v>
      </c>
      <c r="N80" s="111">
        <v>31100</v>
      </c>
      <c r="O80" s="111">
        <v>36781</v>
      </c>
      <c r="P80" s="111">
        <v>46935</v>
      </c>
      <c r="Q80" s="111">
        <v>40745</v>
      </c>
      <c r="R80" s="111">
        <v>43964</v>
      </c>
      <c r="S80" s="111">
        <v>44286</v>
      </c>
      <c r="T80" s="111">
        <v>29748</v>
      </c>
      <c r="U80" s="111">
        <v>51949</v>
      </c>
      <c r="V80" s="111">
        <v>44830</v>
      </c>
      <c r="W80" s="111">
        <v>3248</v>
      </c>
      <c r="X80" s="111">
        <v>3250.2965226041633</v>
      </c>
      <c r="Y80" s="111">
        <v>26.833063631143887</v>
      </c>
      <c r="Z80" s="111">
        <v>-147.1862358067592</v>
      </c>
      <c r="AA80" s="111">
        <v>65.03334396323407</v>
      </c>
      <c r="AB80" s="111">
        <v>236.29816153386128</v>
      </c>
      <c r="AC80" s="111">
        <v>2042.4914397528628</v>
      </c>
      <c r="AD80" s="111">
        <v>1452.514785083873</v>
      </c>
      <c r="AE80" s="111">
        <v>250.69586691936638</v>
      </c>
      <c r="AF80" s="111">
        <v>741.1772595571965</v>
      </c>
      <c r="AG80" s="111">
        <v>369.5562119375172</v>
      </c>
      <c r="AH80" s="111">
        <v>2237.076604057871</v>
      </c>
      <c r="AI80" s="111">
        <v>1307.8324969516834</v>
      </c>
      <c r="AJ80" s="111">
        <v>-1082.8722435031523</v>
      </c>
      <c r="AK80" s="111">
        <v>344.59394120717116</v>
      </c>
      <c r="AL80" s="111">
        <v>335.4042211580745</v>
      </c>
      <c r="AM80" s="111">
        <v>500.69208964117206</v>
      </c>
      <c r="AN80" s="111">
        <v>2436.7430984604507</v>
      </c>
      <c r="AO80" s="111">
        <v>4905.020858702097</v>
      </c>
      <c r="AP80" s="111">
        <v>13204.398454895228</v>
      </c>
      <c r="AQ80" s="111">
        <v>29384.75231471262</v>
      </c>
    </row>
    <row r="82" ht="11.25">
      <c r="A82" s="269">
        <v>0.75</v>
      </c>
    </row>
    <row r="83" spans="1:43" ht="11.25">
      <c r="A83" s="111" t="s">
        <v>246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</row>
    <row r="84" spans="1:43" ht="11.25">
      <c r="A84" s="141" t="s">
        <v>249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98"/>
      <c r="X84" s="198"/>
      <c r="Y84" s="198">
        <v>1237.2017287499998</v>
      </c>
      <c r="Z84" s="198">
        <v>1300.29901691625</v>
      </c>
      <c r="AA84" s="198">
        <v>1366.6142667789786</v>
      </c>
      <c r="AB84" s="198">
        <v>1436.3115943847065</v>
      </c>
      <c r="AC84" s="198">
        <v>1509.5634856983263</v>
      </c>
      <c r="AD84" s="198">
        <v>1586.5512234689409</v>
      </c>
      <c r="AE84" s="198">
        <v>1667.4653358658568</v>
      </c>
      <c r="AF84" s="198">
        <v>1752.5060679950154</v>
      </c>
      <c r="AG84" s="198">
        <v>1841.883877462761</v>
      </c>
      <c r="AH84" s="198">
        <v>1935.8199552133617</v>
      </c>
      <c r="AI84" s="198">
        <v>2034.546772929243</v>
      </c>
      <c r="AJ84" s="198">
        <v>2138.3086583486343</v>
      </c>
      <c r="AK84" s="198">
        <v>2247.3623999244146</v>
      </c>
      <c r="AL84" s="198">
        <v>2361.9778823205593</v>
      </c>
      <c r="AM84" s="198">
        <v>2482.4387543189077</v>
      </c>
      <c r="AN84" s="198">
        <v>2609.0431307891718</v>
      </c>
      <c r="AO84" s="198">
        <v>2742.1043304594195</v>
      </c>
      <c r="AP84" s="198">
        <v>2881.9516513128497</v>
      </c>
      <c r="AQ84" s="198">
        <v>3028.931185529805</v>
      </c>
    </row>
    <row r="85" spans="1:43" ht="11.25">
      <c r="A85" s="141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</row>
    <row r="86" spans="1:43" ht="11.25">
      <c r="A86" s="141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</row>
    <row r="87" spans="1:43" ht="11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1"/>
      <c r="X87" s="111">
        <v>0</v>
      </c>
      <c r="Y87" s="111">
        <v>1237.2017287499998</v>
      </c>
      <c r="Z87" s="111">
        <v>1300.29901691625</v>
      </c>
      <c r="AA87" s="111">
        <v>1366.6142667789786</v>
      </c>
      <c r="AB87" s="111">
        <v>1436.3115943847065</v>
      </c>
      <c r="AC87" s="111">
        <v>1509.5634856983263</v>
      </c>
      <c r="AD87" s="111">
        <v>1586.5512234689409</v>
      </c>
      <c r="AE87" s="111">
        <v>1667.4653358658568</v>
      </c>
      <c r="AF87" s="111">
        <v>1752.5060679950154</v>
      </c>
      <c r="AG87" s="111">
        <v>1841.883877462761</v>
      </c>
      <c r="AH87" s="111">
        <v>1935.8199552133617</v>
      </c>
      <c r="AI87" s="111">
        <v>2034.546772929243</v>
      </c>
      <c r="AJ87" s="111">
        <v>2138.3086583486343</v>
      </c>
      <c r="AK87" s="111">
        <v>2247.3623999244146</v>
      </c>
      <c r="AL87" s="111">
        <v>2361.9778823205593</v>
      </c>
      <c r="AM87" s="111">
        <v>2482.4387543189077</v>
      </c>
      <c r="AN87" s="111">
        <v>2609.0431307891718</v>
      </c>
      <c r="AO87" s="111">
        <v>2742.1043304594195</v>
      </c>
      <c r="AP87" s="111">
        <v>2881.9516513128497</v>
      </c>
      <c r="AQ87" s="111">
        <v>3028.931185529805</v>
      </c>
    </row>
    <row r="89" spans="1:43" ht="11.25">
      <c r="A89" s="162" t="s">
        <v>247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</row>
    <row r="90" spans="1:43" ht="11.25">
      <c r="A90" s="207" t="s">
        <v>248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>
        <v>42969</v>
      </c>
      <c r="X90" s="206">
        <v>44774</v>
      </c>
      <c r="Y90" s="206">
        <v>46365</v>
      </c>
      <c r="Z90" s="206">
        <v>48015</v>
      </c>
      <c r="AA90" s="206">
        <v>49725</v>
      </c>
      <c r="AB90" s="206">
        <v>51498</v>
      </c>
      <c r="AC90" s="206">
        <v>53337</v>
      </c>
      <c r="AD90" s="206">
        <v>55244</v>
      </c>
      <c r="AE90" s="206">
        <v>57222</v>
      </c>
      <c r="AF90" s="206">
        <v>59273</v>
      </c>
      <c r="AG90" s="206">
        <v>61400</v>
      </c>
      <c r="AH90" s="206">
        <v>63606</v>
      </c>
      <c r="AI90" s="206">
        <v>65894</v>
      </c>
      <c r="AJ90" s="206">
        <v>68267</v>
      </c>
      <c r="AK90" s="206">
        <v>70728</v>
      </c>
      <c r="AL90" s="206">
        <v>73281</v>
      </c>
      <c r="AM90" s="206">
        <v>75930</v>
      </c>
      <c r="AN90" s="206">
        <v>78677</v>
      </c>
      <c r="AO90" s="206">
        <v>81527</v>
      </c>
      <c r="AP90" s="206">
        <v>84484</v>
      </c>
      <c r="AQ90" s="206">
        <v>87551</v>
      </c>
    </row>
    <row r="91" spans="1:43" ht="11.25">
      <c r="A91" s="207" t="s">
        <v>286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>
        <v>49562</v>
      </c>
      <c r="X91" s="206">
        <v>18103</v>
      </c>
      <c r="Y91" s="206">
        <v>20739</v>
      </c>
      <c r="Z91" s="206">
        <v>22481</v>
      </c>
      <c r="AA91" s="206">
        <v>20277</v>
      </c>
      <c r="AB91" s="206">
        <v>17077</v>
      </c>
      <c r="AC91" s="206">
        <v>12805</v>
      </c>
      <c r="AD91" s="206">
        <v>15543</v>
      </c>
      <c r="AE91" s="206">
        <v>11190</v>
      </c>
      <c r="AF91" s="206">
        <v>16740</v>
      </c>
      <c r="AG91" s="206">
        <v>11044</v>
      </c>
      <c r="AH91" s="206">
        <v>6783</v>
      </c>
      <c r="AI91" s="206">
        <v>5188</v>
      </c>
      <c r="AJ91" s="206">
        <v>2860</v>
      </c>
      <c r="AK91" s="206">
        <v>15831</v>
      </c>
      <c r="AL91" s="206">
        <v>1317</v>
      </c>
      <c r="AM91" s="206">
        <v>1309</v>
      </c>
      <c r="AN91" s="206">
        <v>621</v>
      </c>
      <c r="AO91" s="206">
        <v>3121</v>
      </c>
      <c r="AP91" s="206">
        <v>3399</v>
      </c>
      <c r="AQ91" s="206">
        <v>67629</v>
      </c>
    </row>
    <row r="92" spans="1:43" ht="11.25">
      <c r="A92" s="207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</row>
    <row r="93" spans="1:43" ht="11.25">
      <c r="A93" s="207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162">
        <v>92531</v>
      </c>
      <c r="X93" s="162">
        <v>62877</v>
      </c>
      <c r="Y93" s="162">
        <v>67104</v>
      </c>
      <c r="Z93" s="162">
        <v>70496</v>
      </c>
      <c r="AA93" s="162">
        <v>70002</v>
      </c>
      <c r="AB93" s="162">
        <v>68575</v>
      </c>
      <c r="AC93" s="162">
        <v>66142</v>
      </c>
      <c r="AD93" s="162">
        <v>70787</v>
      </c>
      <c r="AE93" s="162">
        <v>68412</v>
      </c>
      <c r="AF93" s="162">
        <v>76013</v>
      </c>
      <c r="AG93" s="162">
        <v>72444</v>
      </c>
      <c r="AH93" s="162">
        <v>70389</v>
      </c>
      <c r="AI93" s="162">
        <v>71082</v>
      </c>
      <c r="AJ93" s="162">
        <v>71127</v>
      </c>
      <c r="AK93" s="162">
        <v>86559</v>
      </c>
      <c r="AL93" s="162">
        <v>74598</v>
      </c>
      <c r="AM93" s="162">
        <v>77239</v>
      </c>
      <c r="AN93" s="162">
        <v>79298</v>
      </c>
      <c r="AO93" s="162">
        <v>84648</v>
      </c>
      <c r="AP93" s="162">
        <v>87883</v>
      </c>
      <c r="AQ93" s="162">
        <v>155180</v>
      </c>
    </row>
    <row r="94" spans="1:43" ht="11.25">
      <c r="A94" s="197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</row>
    <row r="95" spans="1:43" ht="11.25">
      <c r="A95" s="162" t="s">
        <v>455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</row>
    <row r="96" spans="1:43" ht="11.25">
      <c r="A96" s="207" t="s">
        <v>290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>
        <v>0</v>
      </c>
      <c r="X96" s="206">
        <v>4196</v>
      </c>
      <c r="Y96" s="206">
        <v>9168</v>
      </c>
      <c r="Z96" s="206">
        <v>9349</v>
      </c>
      <c r="AA96" s="206">
        <v>6978</v>
      </c>
      <c r="AB96" s="206">
        <v>6050</v>
      </c>
      <c r="AC96" s="206">
        <v>31</v>
      </c>
      <c r="AD96" s="206">
        <v>3497</v>
      </c>
      <c r="AE96" s="206">
        <v>1400</v>
      </c>
      <c r="AF96" s="206">
        <v>7324</v>
      </c>
      <c r="AG96" s="206">
        <v>0</v>
      </c>
      <c r="AH96" s="206">
        <v>0</v>
      </c>
      <c r="AI96" s="206">
        <v>0</v>
      </c>
      <c r="AJ96" s="206">
        <v>1458</v>
      </c>
      <c r="AK96" s="206">
        <v>2838</v>
      </c>
      <c r="AL96" s="206">
        <v>0</v>
      </c>
      <c r="AM96" s="206">
        <v>0</v>
      </c>
      <c r="AN96" s="206">
        <v>0</v>
      </c>
      <c r="AO96" s="206">
        <v>0</v>
      </c>
      <c r="AP96" s="206">
        <v>743</v>
      </c>
      <c r="AQ96" s="206">
        <v>28726</v>
      </c>
    </row>
    <row r="97" spans="1:43" ht="11.25">
      <c r="A97" s="207" t="s">
        <v>472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>
        <v>0</v>
      </c>
      <c r="X97" s="206">
        <v>10622</v>
      </c>
      <c r="Y97" s="206">
        <v>11571</v>
      </c>
      <c r="Z97" s="206">
        <v>12984</v>
      </c>
      <c r="AA97" s="206">
        <v>12951</v>
      </c>
      <c r="AB97" s="206">
        <v>8914</v>
      </c>
      <c r="AC97" s="206">
        <v>11798</v>
      </c>
      <c r="AD97" s="206">
        <v>11534</v>
      </c>
      <c r="AE97" s="206">
        <v>9790</v>
      </c>
      <c r="AF97" s="206">
        <v>8846</v>
      </c>
      <c r="AG97" s="206">
        <v>11044</v>
      </c>
      <c r="AH97" s="206">
        <v>6467</v>
      </c>
      <c r="AI97" s="206">
        <v>5188</v>
      </c>
      <c r="AJ97" s="206">
        <v>1403</v>
      </c>
      <c r="AK97" s="206">
        <v>1638</v>
      </c>
      <c r="AL97" s="206">
        <v>1317</v>
      </c>
      <c r="AM97" s="206">
        <v>1309</v>
      </c>
      <c r="AN97" s="206">
        <v>621</v>
      </c>
      <c r="AO97" s="206">
        <v>3121</v>
      </c>
      <c r="AP97" s="206">
        <v>2656</v>
      </c>
      <c r="AQ97" s="206">
        <v>22136</v>
      </c>
    </row>
    <row r="98" spans="1:43" ht="11.25">
      <c r="A98" s="207" t="s">
        <v>291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>
        <v>0</v>
      </c>
      <c r="X98" s="206">
        <v>3285</v>
      </c>
      <c r="Y98" s="206">
        <v>0</v>
      </c>
      <c r="Z98" s="206">
        <v>148</v>
      </c>
      <c r="AA98" s="206">
        <v>348</v>
      </c>
      <c r="AB98" s="206">
        <v>2113</v>
      </c>
      <c r="AC98" s="206">
        <v>976</v>
      </c>
      <c r="AD98" s="206">
        <v>512</v>
      </c>
      <c r="AE98" s="206">
        <v>0</v>
      </c>
      <c r="AF98" s="206">
        <v>570</v>
      </c>
      <c r="AG98" s="206">
        <v>0</v>
      </c>
      <c r="AH98" s="206">
        <v>316</v>
      </c>
      <c r="AI98" s="206">
        <v>0</v>
      </c>
      <c r="AJ98" s="206">
        <v>0</v>
      </c>
      <c r="AK98" s="206">
        <v>11354</v>
      </c>
      <c r="AL98" s="206">
        <v>0</v>
      </c>
      <c r="AM98" s="206">
        <v>0</v>
      </c>
      <c r="AN98" s="206">
        <v>0</v>
      </c>
      <c r="AO98" s="206">
        <v>0</v>
      </c>
      <c r="AP98" s="206">
        <v>0</v>
      </c>
      <c r="AQ98" s="206">
        <v>16766</v>
      </c>
    </row>
    <row r="99" spans="1:43" ht="11.25">
      <c r="A99" s="207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</row>
    <row r="100" spans="1:43" ht="11.25">
      <c r="A100" s="207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162">
        <v>0</v>
      </c>
      <c r="X100" s="162">
        <v>18103</v>
      </c>
      <c r="Y100" s="162">
        <v>20739</v>
      </c>
      <c r="Z100" s="162">
        <v>22481</v>
      </c>
      <c r="AA100" s="162">
        <v>20277</v>
      </c>
      <c r="AB100" s="162">
        <v>17077</v>
      </c>
      <c r="AC100" s="162">
        <v>12805</v>
      </c>
      <c r="AD100" s="162">
        <v>15543</v>
      </c>
      <c r="AE100" s="162">
        <v>11190</v>
      </c>
      <c r="AF100" s="162">
        <v>16740</v>
      </c>
      <c r="AG100" s="162">
        <v>11044</v>
      </c>
      <c r="AH100" s="162">
        <v>6783</v>
      </c>
      <c r="AI100" s="162">
        <v>5188</v>
      </c>
      <c r="AJ100" s="162">
        <v>2861</v>
      </c>
      <c r="AK100" s="162">
        <v>15830</v>
      </c>
      <c r="AL100" s="162">
        <v>1317</v>
      </c>
      <c r="AM100" s="162">
        <v>1309</v>
      </c>
      <c r="AN100" s="162">
        <v>621</v>
      </c>
      <c r="AO100" s="162">
        <v>3121</v>
      </c>
      <c r="AP100" s="162">
        <v>3399</v>
      </c>
      <c r="AQ100" s="162">
        <v>67628</v>
      </c>
    </row>
    <row r="101" spans="1:43" ht="11.25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</row>
    <row r="102" spans="1:43" ht="11.25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6"/>
      <c r="X102" s="216">
        <v>7865</v>
      </c>
      <c r="Y102" s="216">
        <v>8919</v>
      </c>
      <c r="Z102" s="216">
        <v>11040</v>
      </c>
      <c r="AA102" s="216">
        <v>9244</v>
      </c>
      <c r="AB102" s="216">
        <v>5059</v>
      </c>
      <c r="AC102" s="216">
        <v>-126</v>
      </c>
      <c r="AD102" s="216">
        <v>3062</v>
      </c>
      <c r="AE102" s="216">
        <v>-3718</v>
      </c>
      <c r="AF102" s="216">
        <v>5423</v>
      </c>
      <c r="AG102" s="216">
        <v>2903</v>
      </c>
      <c r="AH102" s="216">
        <v>-1045</v>
      </c>
      <c r="AI102" s="216">
        <v>-5170</v>
      </c>
      <c r="AJ102" s="216">
        <v>-2166</v>
      </c>
      <c r="AK102" s="216">
        <v>13417</v>
      </c>
      <c r="AL102" s="216">
        <v>1107</v>
      </c>
      <c r="AM102" s="216">
        <v>711</v>
      </c>
      <c r="AN102" s="216">
        <v>68</v>
      </c>
      <c r="AO102" s="216">
        <v>2591</v>
      </c>
      <c r="AP102" s="216">
        <v>2812</v>
      </c>
      <c r="AQ102" s="216">
        <v>-2334</v>
      </c>
    </row>
    <row r="103" spans="1:43" ht="11.25">
      <c r="A103" s="217" t="s">
        <v>477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199"/>
      <c r="X103" s="218">
        <v>7865</v>
      </c>
      <c r="Y103" s="218">
        <v>16784</v>
      </c>
      <c r="Z103" s="218">
        <v>27824</v>
      </c>
      <c r="AA103" s="218">
        <v>37068</v>
      </c>
      <c r="AB103" s="218">
        <v>42127</v>
      </c>
      <c r="AC103" s="218">
        <v>42001</v>
      </c>
      <c r="AD103" s="218">
        <v>45063</v>
      </c>
      <c r="AE103" s="218">
        <v>41345</v>
      </c>
      <c r="AF103" s="218">
        <v>46768</v>
      </c>
      <c r="AG103" s="218">
        <v>49671</v>
      </c>
      <c r="AH103" s="218">
        <v>48626</v>
      </c>
      <c r="AI103" s="218">
        <v>43456</v>
      </c>
      <c r="AJ103" s="218">
        <v>41290</v>
      </c>
      <c r="AK103" s="218">
        <v>54707</v>
      </c>
      <c r="AL103" s="218">
        <v>55814</v>
      </c>
      <c r="AM103" s="218">
        <v>56525</v>
      </c>
      <c r="AN103" s="218">
        <v>56593</v>
      </c>
      <c r="AO103" s="218">
        <v>59184</v>
      </c>
      <c r="AP103" s="218">
        <v>61996</v>
      </c>
      <c r="AQ103" s="218">
        <v>59662</v>
      </c>
    </row>
    <row r="105" spans="1:43" ht="11.25">
      <c r="A105" s="162" t="s">
        <v>263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</row>
    <row r="106" spans="1:43" ht="11.25">
      <c r="A106" s="207" t="s">
        <v>253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>
        <v>30850</v>
      </c>
      <c r="X106" s="206">
        <v>2000</v>
      </c>
      <c r="Y106" s="206">
        <v>2050</v>
      </c>
      <c r="Z106" s="206">
        <v>2101</v>
      </c>
      <c r="AA106" s="206">
        <v>2154</v>
      </c>
      <c r="AB106" s="206">
        <v>2208</v>
      </c>
      <c r="AC106" s="206">
        <v>2263</v>
      </c>
      <c r="AD106" s="206">
        <v>2319</v>
      </c>
      <c r="AE106" s="206">
        <v>2377</v>
      </c>
      <c r="AF106" s="206">
        <v>2437</v>
      </c>
      <c r="AG106" s="206">
        <v>2498</v>
      </c>
      <c r="AH106" s="206">
        <v>2560</v>
      </c>
      <c r="AI106" s="206">
        <v>2624</v>
      </c>
      <c r="AJ106" s="206">
        <v>2690</v>
      </c>
      <c r="AK106" s="206">
        <v>2757</v>
      </c>
      <c r="AL106" s="206">
        <v>2826</v>
      </c>
      <c r="AM106" s="206">
        <v>2897</v>
      </c>
      <c r="AN106" s="206">
        <v>2969</v>
      </c>
      <c r="AO106" s="206">
        <v>3043</v>
      </c>
      <c r="AP106" s="206">
        <v>3119</v>
      </c>
      <c r="AQ106" s="206">
        <v>3197</v>
      </c>
    </row>
    <row r="107" spans="1:43" ht="11.25">
      <c r="A107" s="207" t="s">
        <v>255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>
        <v>11898</v>
      </c>
      <c r="X107" s="206">
        <v>11898</v>
      </c>
      <c r="Y107" s="206">
        <v>12195</v>
      </c>
      <c r="Z107" s="206">
        <v>12500</v>
      </c>
      <c r="AA107" s="206">
        <v>12813</v>
      </c>
      <c r="AB107" s="206">
        <v>13133</v>
      </c>
      <c r="AC107" s="206">
        <v>13461</v>
      </c>
      <c r="AD107" s="206">
        <v>13798</v>
      </c>
      <c r="AE107" s="206">
        <v>14143</v>
      </c>
      <c r="AF107" s="206">
        <v>14497</v>
      </c>
      <c r="AG107" s="206">
        <v>14859</v>
      </c>
      <c r="AH107" s="206">
        <v>15230</v>
      </c>
      <c r="AI107" s="206">
        <v>15611</v>
      </c>
      <c r="AJ107" s="206">
        <v>16001</v>
      </c>
      <c r="AK107" s="206">
        <v>16401</v>
      </c>
      <c r="AL107" s="206">
        <v>16811</v>
      </c>
      <c r="AM107" s="206">
        <v>17231</v>
      </c>
      <c r="AN107" s="206">
        <v>17662</v>
      </c>
      <c r="AO107" s="206">
        <v>18104</v>
      </c>
      <c r="AP107" s="206">
        <v>18557</v>
      </c>
      <c r="AQ107" s="206">
        <v>19021</v>
      </c>
    </row>
    <row r="108" spans="1:43" ht="11.25">
      <c r="A108" s="207" t="s">
        <v>80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>
        <v>375</v>
      </c>
      <c r="X108" s="206">
        <v>384</v>
      </c>
      <c r="Y108" s="206">
        <v>375</v>
      </c>
      <c r="Z108" s="206">
        <v>375</v>
      </c>
      <c r="AA108" s="206">
        <v>371</v>
      </c>
      <c r="AB108" s="206">
        <v>377</v>
      </c>
      <c r="AC108" s="206">
        <v>388</v>
      </c>
      <c r="AD108" s="206">
        <v>330</v>
      </c>
      <c r="AE108" s="206">
        <v>408</v>
      </c>
      <c r="AF108" s="206">
        <v>424</v>
      </c>
      <c r="AG108" s="206">
        <v>441</v>
      </c>
      <c r="AH108" s="206">
        <v>458</v>
      </c>
      <c r="AI108" s="206">
        <v>477</v>
      </c>
      <c r="AJ108" s="206">
        <v>496</v>
      </c>
      <c r="AK108" s="206">
        <v>516</v>
      </c>
      <c r="AL108" s="206">
        <v>536</v>
      </c>
      <c r="AM108" s="206">
        <v>558</v>
      </c>
      <c r="AN108" s="206">
        <v>580</v>
      </c>
      <c r="AO108" s="206">
        <v>603</v>
      </c>
      <c r="AP108" s="206">
        <v>603</v>
      </c>
      <c r="AQ108" s="206">
        <v>603</v>
      </c>
    </row>
    <row r="109" spans="1:43" ht="11.25">
      <c r="A109" s="207" t="s">
        <v>473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>
        <v>1462</v>
      </c>
      <c r="X109" s="206">
        <v>8674</v>
      </c>
      <c r="Y109" s="206">
        <v>8358</v>
      </c>
      <c r="Z109" s="206">
        <v>5458</v>
      </c>
      <c r="AA109" s="206">
        <v>3140</v>
      </c>
      <c r="AB109" s="206">
        <v>4114</v>
      </c>
      <c r="AC109" s="206">
        <v>6154</v>
      </c>
      <c r="AD109" s="206">
        <v>4844</v>
      </c>
      <c r="AE109" s="206">
        <v>6131</v>
      </c>
      <c r="AF109" s="206">
        <v>2014</v>
      </c>
      <c r="AG109" s="206">
        <v>2032</v>
      </c>
      <c r="AH109" s="206">
        <v>0</v>
      </c>
      <c r="AI109" s="206">
        <v>5188</v>
      </c>
      <c r="AJ109" s="206">
        <v>0</v>
      </c>
      <c r="AK109" s="206">
        <v>0</v>
      </c>
      <c r="AL109" s="206">
        <v>0</v>
      </c>
      <c r="AM109" s="206">
        <v>0</v>
      </c>
      <c r="AN109" s="206">
        <v>0</v>
      </c>
      <c r="AO109" s="206">
        <v>0</v>
      </c>
      <c r="AP109" s="206">
        <v>0</v>
      </c>
      <c r="AQ109" s="206">
        <v>0</v>
      </c>
    </row>
    <row r="110" spans="1:43" ht="11.25">
      <c r="A110" s="207" t="s">
        <v>475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>
        <v>500</v>
      </c>
      <c r="X110" s="206">
        <v>1401</v>
      </c>
      <c r="Y110" s="206">
        <v>3140</v>
      </c>
      <c r="Z110" s="206">
        <v>5496</v>
      </c>
      <c r="AA110" s="206">
        <v>7263</v>
      </c>
      <c r="AB110" s="206">
        <v>7140</v>
      </c>
      <c r="AC110" s="206">
        <v>5979</v>
      </c>
      <c r="AD110" s="206">
        <v>6916</v>
      </c>
      <c r="AE110" s="206">
        <v>8040</v>
      </c>
      <c r="AF110" s="206">
        <v>8561</v>
      </c>
      <c r="AG110" s="206">
        <v>5468</v>
      </c>
      <c r="AH110" s="206">
        <v>7233</v>
      </c>
      <c r="AI110" s="206">
        <v>4681</v>
      </c>
      <c r="AJ110" s="206">
        <v>4618</v>
      </c>
      <c r="AK110" s="206">
        <v>2097</v>
      </c>
      <c r="AL110" s="206">
        <v>0</v>
      </c>
      <c r="AM110" s="206">
        <v>477</v>
      </c>
      <c r="AN110" s="206">
        <v>477</v>
      </c>
      <c r="AO110" s="206">
        <v>477</v>
      </c>
      <c r="AP110" s="206">
        <v>542</v>
      </c>
      <c r="AQ110" s="206">
        <v>65479</v>
      </c>
    </row>
    <row r="111" spans="1:43" ht="11.25">
      <c r="A111" s="207" t="s">
        <v>476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>
        <v>0</v>
      </c>
      <c r="X111" s="206">
        <v>163</v>
      </c>
      <c r="Y111" s="206">
        <v>322</v>
      </c>
      <c r="Z111" s="206">
        <v>487</v>
      </c>
      <c r="AA111" s="206">
        <v>630</v>
      </c>
      <c r="AB111" s="206">
        <v>764</v>
      </c>
      <c r="AC111" s="206">
        <v>798</v>
      </c>
      <c r="AD111" s="206">
        <v>721</v>
      </c>
      <c r="AE111" s="206">
        <v>737</v>
      </c>
      <c r="AF111" s="206">
        <v>742</v>
      </c>
      <c r="AG111" s="206">
        <v>641</v>
      </c>
      <c r="AH111" s="206">
        <v>595</v>
      </c>
      <c r="AI111" s="206">
        <v>489</v>
      </c>
      <c r="AJ111" s="206">
        <v>409</v>
      </c>
      <c r="AK111" s="206">
        <v>316</v>
      </c>
      <c r="AL111" s="206">
        <v>210</v>
      </c>
      <c r="AM111" s="206">
        <v>121</v>
      </c>
      <c r="AN111" s="206">
        <v>76</v>
      </c>
      <c r="AO111" s="206">
        <v>53</v>
      </c>
      <c r="AP111" s="206">
        <v>45</v>
      </c>
      <c r="AQ111" s="206">
        <v>4483</v>
      </c>
    </row>
    <row r="112" spans="1:43" ht="11.25">
      <c r="A112" s="207" t="s">
        <v>287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>
        <v>600</v>
      </c>
      <c r="X112" s="206">
        <v>618</v>
      </c>
      <c r="Y112" s="206">
        <v>633</v>
      </c>
      <c r="Z112" s="206">
        <v>649</v>
      </c>
      <c r="AA112" s="206">
        <v>665</v>
      </c>
      <c r="AB112" s="206">
        <v>682</v>
      </c>
      <c r="AC112" s="206">
        <v>699</v>
      </c>
      <c r="AD112" s="206">
        <v>716</v>
      </c>
      <c r="AE112" s="206">
        <v>734</v>
      </c>
      <c r="AF112" s="206">
        <v>752</v>
      </c>
      <c r="AG112" s="206">
        <v>771</v>
      </c>
      <c r="AH112" s="206">
        <v>790</v>
      </c>
      <c r="AI112" s="206">
        <v>810</v>
      </c>
      <c r="AJ112" s="206">
        <v>830</v>
      </c>
      <c r="AK112" s="206">
        <v>851</v>
      </c>
      <c r="AL112" s="206">
        <v>872</v>
      </c>
      <c r="AM112" s="206">
        <v>894</v>
      </c>
      <c r="AN112" s="206">
        <v>916</v>
      </c>
      <c r="AO112" s="206">
        <v>939</v>
      </c>
      <c r="AP112" s="206">
        <v>962</v>
      </c>
      <c r="AQ112" s="206">
        <v>986</v>
      </c>
    </row>
    <row r="113" spans="1:43" ht="11.25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</row>
    <row r="114" spans="1:43" ht="11.25">
      <c r="A114" s="162" t="s">
        <v>264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162">
        <v>46846</v>
      </c>
      <c r="X114" s="162">
        <v>37739</v>
      </c>
      <c r="Y114" s="162">
        <v>40031</v>
      </c>
      <c r="Z114" s="162">
        <v>43430</v>
      </c>
      <c r="AA114" s="162">
        <v>42966</v>
      </c>
      <c r="AB114" s="162">
        <v>40157</v>
      </c>
      <c r="AC114" s="162">
        <v>36400</v>
      </c>
      <c r="AD114" s="162">
        <v>41143</v>
      </c>
      <c r="AE114" s="162">
        <v>35842</v>
      </c>
      <c r="AF114" s="162">
        <v>46586</v>
      </c>
      <c r="AG114" s="162">
        <v>45734</v>
      </c>
      <c r="AH114" s="162">
        <v>43523</v>
      </c>
      <c r="AI114" s="162">
        <v>41202</v>
      </c>
      <c r="AJ114" s="162">
        <v>46083</v>
      </c>
      <c r="AK114" s="162">
        <v>63621</v>
      </c>
      <c r="AL114" s="162">
        <v>53343</v>
      </c>
      <c r="AM114" s="162">
        <v>55061</v>
      </c>
      <c r="AN114" s="162">
        <v>56618</v>
      </c>
      <c r="AO114" s="162">
        <v>61429</v>
      </c>
      <c r="AP114" s="162">
        <v>64055</v>
      </c>
      <c r="AQ114" s="162">
        <v>61411</v>
      </c>
    </row>
    <row r="116" spans="1:43" ht="11.25">
      <c r="A116" s="111" t="s">
        <v>458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</row>
    <row r="117" spans="1:43" ht="11.25">
      <c r="A117" s="141" t="s">
        <v>451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>
        <v>650</v>
      </c>
      <c r="W117" s="114">
        <v>650</v>
      </c>
      <c r="X117" s="114">
        <v>650</v>
      </c>
      <c r="Y117" s="114">
        <v>650</v>
      </c>
      <c r="Z117" s="114">
        <v>650</v>
      </c>
      <c r="AA117" s="114">
        <v>650</v>
      </c>
      <c r="AB117" s="114">
        <v>650</v>
      </c>
      <c r="AC117" s="114">
        <v>650</v>
      </c>
      <c r="AD117" s="114">
        <v>650</v>
      </c>
      <c r="AE117" s="114">
        <v>650</v>
      </c>
      <c r="AF117" s="114">
        <v>650</v>
      </c>
      <c r="AG117" s="114">
        <v>650</v>
      </c>
      <c r="AH117" s="114">
        <v>650</v>
      </c>
      <c r="AI117" s="114">
        <v>650</v>
      </c>
      <c r="AJ117" s="114">
        <v>650</v>
      </c>
      <c r="AK117" s="114">
        <v>650</v>
      </c>
      <c r="AL117" s="114">
        <v>650</v>
      </c>
      <c r="AM117" s="114">
        <v>650</v>
      </c>
      <c r="AN117" s="114">
        <v>650</v>
      </c>
      <c r="AO117" s="114">
        <v>650</v>
      </c>
      <c r="AP117" s="114">
        <v>650</v>
      </c>
      <c r="AQ117" s="114">
        <v>650</v>
      </c>
    </row>
    <row r="118" spans="1:43" ht="11.25">
      <c r="A118" s="141" t="s">
        <v>452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>
        <v>3253</v>
      </c>
      <c r="W118" s="114">
        <v>3253</v>
      </c>
      <c r="X118" s="114">
        <v>3253</v>
      </c>
      <c r="Y118" s="114">
        <v>3253</v>
      </c>
      <c r="Z118" s="114">
        <v>3253</v>
      </c>
      <c r="AA118" s="114">
        <v>3253</v>
      </c>
      <c r="AB118" s="114">
        <v>3253</v>
      </c>
      <c r="AC118" s="114">
        <v>3253</v>
      </c>
      <c r="AD118" s="114">
        <v>3253</v>
      </c>
      <c r="AE118" s="114">
        <v>3253</v>
      </c>
      <c r="AF118" s="114">
        <v>3253</v>
      </c>
      <c r="AG118" s="114">
        <v>3253</v>
      </c>
      <c r="AH118" s="114">
        <v>3253</v>
      </c>
      <c r="AI118" s="114">
        <v>3253</v>
      </c>
      <c r="AJ118" s="114">
        <v>3253</v>
      </c>
      <c r="AK118" s="114">
        <v>3253</v>
      </c>
      <c r="AL118" s="114">
        <v>3253</v>
      </c>
      <c r="AM118" s="114">
        <v>3253</v>
      </c>
      <c r="AN118" s="114">
        <v>3253</v>
      </c>
      <c r="AO118" s="114">
        <v>3253</v>
      </c>
      <c r="AP118" s="114">
        <v>3253</v>
      </c>
      <c r="AQ118" s="114">
        <v>3253</v>
      </c>
    </row>
    <row r="119" spans="1:43" ht="11.25">
      <c r="A119" s="141" t="s">
        <v>453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>
        <v>6</v>
      </c>
      <c r="W119" s="114">
        <v>6</v>
      </c>
      <c r="X119" s="114">
        <v>6</v>
      </c>
      <c r="Y119" s="114">
        <v>6</v>
      </c>
      <c r="Z119" s="114">
        <v>6</v>
      </c>
      <c r="AA119" s="114">
        <v>6</v>
      </c>
      <c r="AB119" s="114">
        <v>6</v>
      </c>
      <c r="AC119" s="114">
        <v>6</v>
      </c>
      <c r="AD119" s="114">
        <v>6</v>
      </c>
      <c r="AE119" s="114">
        <v>6</v>
      </c>
      <c r="AF119" s="114">
        <v>6</v>
      </c>
      <c r="AG119" s="114">
        <v>6</v>
      </c>
      <c r="AH119" s="114">
        <v>6</v>
      </c>
      <c r="AI119" s="114">
        <v>6</v>
      </c>
      <c r="AJ119" s="114">
        <v>6</v>
      </c>
      <c r="AK119" s="114">
        <v>6</v>
      </c>
      <c r="AL119" s="114">
        <v>6</v>
      </c>
      <c r="AM119" s="114">
        <v>6</v>
      </c>
      <c r="AN119" s="114">
        <v>6</v>
      </c>
      <c r="AO119" s="114">
        <v>6</v>
      </c>
      <c r="AP119" s="114">
        <v>6</v>
      </c>
      <c r="AQ119" s="114">
        <v>6</v>
      </c>
    </row>
    <row r="120" spans="1:43" ht="11.25">
      <c r="A120" s="141" t="s">
        <v>454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>
        <v>292</v>
      </c>
      <c r="W120" s="114">
        <v>292</v>
      </c>
      <c r="X120" s="114">
        <v>292</v>
      </c>
      <c r="Y120" s="114">
        <v>292</v>
      </c>
      <c r="Z120" s="114">
        <v>292</v>
      </c>
      <c r="AA120" s="114">
        <v>292</v>
      </c>
      <c r="AB120" s="114">
        <v>292</v>
      </c>
      <c r="AC120" s="114">
        <v>292</v>
      </c>
      <c r="AD120" s="114">
        <v>292</v>
      </c>
      <c r="AE120" s="114">
        <v>292</v>
      </c>
      <c r="AF120" s="114">
        <v>292</v>
      </c>
      <c r="AG120" s="114">
        <v>292</v>
      </c>
      <c r="AH120" s="114">
        <v>292</v>
      </c>
      <c r="AI120" s="114">
        <v>292</v>
      </c>
      <c r="AJ120" s="114">
        <v>292</v>
      </c>
      <c r="AK120" s="114">
        <v>292</v>
      </c>
      <c r="AL120" s="114">
        <v>292</v>
      </c>
      <c r="AM120" s="114">
        <v>292</v>
      </c>
      <c r="AN120" s="114">
        <v>292</v>
      </c>
      <c r="AO120" s="114">
        <v>292</v>
      </c>
      <c r="AP120" s="114">
        <v>292</v>
      </c>
      <c r="AQ120" s="114">
        <v>292</v>
      </c>
    </row>
    <row r="121" spans="1:43" ht="11.25">
      <c r="A121" s="141" t="s">
        <v>455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>
        <v>1095</v>
      </c>
      <c r="W121" s="114">
        <v>1095</v>
      </c>
      <c r="X121" s="114">
        <v>1095</v>
      </c>
      <c r="Y121" s="114">
        <v>1095</v>
      </c>
      <c r="Z121" s="114">
        <v>1095</v>
      </c>
      <c r="AA121" s="114">
        <v>1095</v>
      </c>
      <c r="AB121" s="114">
        <v>1095</v>
      </c>
      <c r="AC121" s="114">
        <v>1095</v>
      </c>
      <c r="AD121" s="114">
        <v>1095</v>
      </c>
      <c r="AE121" s="114">
        <v>1095</v>
      </c>
      <c r="AF121" s="114">
        <v>1095</v>
      </c>
      <c r="AG121" s="114">
        <v>1095</v>
      </c>
      <c r="AH121" s="114">
        <v>1095</v>
      </c>
      <c r="AI121" s="114">
        <v>1095</v>
      </c>
      <c r="AJ121" s="114">
        <v>1095</v>
      </c>
      <c r="AK121" s="114">
        <v>1095</v>
      </c>
      <c r="AL121" s="114">
        <v>1095</v>
      </c>
      <c r="AM121" s="114">
        <v>1095</v>
      </c>
      <c r="AN121" s="114">
        <v>1095</v>
      </c>
      <c r="AO121" s="114">
        <v>1095</v>
      </c>
      <c r="AP121" s="114">
        <v>1095</v>
      </c>
      <c r="AQ121" s="114">
        <v>1095</v>
      </c>
    </row>
    <row r="122" spans="1:43" ht="11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</row>
    <row r="123" spans="1:43" ht="11.2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1">
        <v>5296</v>
      </c>
      <c r="W123" s="111">
        <v>5296</v>
      </c>
      <c r="X123" s="111">
        <v>5296</v>
      </c>
      <c r="Y123" s="111">
        <v>5296</v>
      </c>
      <c r="Z123" s="111">
        <v>5296</v>
      </c>
      <c r="AA123" s="111">
        <v>5296</v>
      </c>
      <c r="AB123" s="111">
        <v>5296</v>
      </c>
      <c r="AC123" s="111">
        <v>5296</v>
      </c>
      <c r="AD123" s="111">
        <v>5296</v>
      </c>
      <c r="AE123" s="111">
        <v>5296</v>
      </c>
      <c r="AF123" s="111">
        <v>5296</v>
      </c>
      <c r="AG123" s="111">
        <v>5296</v>
      </c>
      <c r="AH123" s="111">
        <v>5296</v>
      </c>
      <c r="AI123" s="111">
        <v>5296</v>
      </c>
      <c r="AJ123" s="111">
        <v>5296</v>
      </c>
      <c r="AK123" s="111">
        <v>5296</v>
      </c>
      <c r="AL123" s="111">
        <v>5296</v>
      </c>
      <c r="AM123" s="111">
        <v>5296</v>
      </c>
      <c r="AN123" s="111">
        <v>5296</v>
      </c>
      <c r="AO123" s="111">
        <v>5296</v>
      </c>
      <c r="AP123" s="111">
        <v>5296</v>
      </c>
      <c r="AQ123" s="111">
        <v>5296</v>
      </c>
    </row>
    <row r="125" spans="22:43" ht="11.25">
      <c r="V125" s="92">
        <v>0</v>
      </c>
      <c r="W125" s="92">
        <v>0</v>
      </c>
      <c r="X125" s="92">
        <v>0</v>
      </c>
      <c r="Y125" s="92">
        <v>0</v>
      </c>
      <c r="Z125" s="92">
        <v>0</v>
      </c>
      <c r="AA125" s="92">
        <v>0</v>
      </c>
      <c r="AB125" s="92">
        <v>0</v>
      </c>
      <c r="AC125" s="92">
        <v>0</v>
      </c>
      <c r="AD125" s="92">
        <v>0</v>
      </c>
      <c r="AE125" s="92">
        <v>0</v>
      </c>
      <c r="AF125" s="92">
        <v>0</v>
      </c>
      <c r="AG125" s="92">
        <v>0</v>
      </c>
      <c r="AH125" s="92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2">
        <v>0</v>
      </c>
      <c r="AO125" s="92">
        <v>0</v>
      </c>
      <c r="AP125" s="92">
        <v>0</v>
      </c>
      <c r="AQ125" s="92">
        <v>0</v>
      </c>
    </row>
    <row r="127" spans="1:43" ht="11.25">
      <c r="A127" s="199" t="s">
        <v>456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199">
        <v>0</v>
      </c>
      <c r="W127" s="199">
        <v>0</v>
      </c>
      <c r="X127" s="199">
        <v>6103</v>
      </c>
      <c r="Y127" s="199">
        <v>11459</v>
      </c>
      <c r="Z127" s="199">
        <v>7866</v>
      </c>
      <c r="AA127" s="199">
        <v>3426</v>
      </c>
      <c r="AB127" s="199">
        <v>9150</v>
      </c>
      <c r="AC127" s="199">
        <v>1149</v>
      </c>
      <c r="AD127" s="199">
        <v>7989</v>
      </c>
      <c r="AE127" s="199">
        <v>-2433</v>
      </c>
      <c r="AF127" s="199">
        <v>1537</v>
      </c>
      <c r="AG127" s="199">
        <v>1586</v>
      </c>
      <c r="AH127" s="199">
        <v>-9687</v>
      </c>
      <c r="AI127" s="199">
        <v>-1943</v>
      </c>
      <c r="AJ127" s="199">
        <v>42</v>
      </c>
      <c r="AK127" s="199">
        <v>16350</v>
      </c>
      <c r="AL127" s="199">
        <v>-1290</v>
      </c>
      <c r="AM127" s="199">
        <v>-3013</v>
      </c>
      <c r="AN127" s="199">
        <v>-2994</v>
      </c>
      <c r="AO127" s="199">
        <v>-3000</v>
      </c>
      <c r="AP127" s="199">
        <v>-1850</v>
      </c>
      <c r="AQ127" s="199">
        <v>11419</v>
      </c>
    </row>
    <row r="129" spans="1:43" ht="11.25">
      <c r="A129" s="199" t="s">
        <v>457</v>
      </c>
      <c r="V129" s="199">
        <v>0</v>
      </c>
      <c r="W129" s="199">
        <v>0</v>
      </c>
      <c r="X129" s="199">
        <v>6103</v>
      </c>
      <c r="Y129" s="199">
        <v>17562</v>
      </c>
      <c r="Z129" s="199">
        <v>25428</v>
      </c>
      <c r="AA129" s="199">
        <v>28854</v>
      </c>
      <c r="AB129" s="199">
        <v>38004</v>
      </c>
      <c r="AC129" s="199">
        <v>39153</v>
      </c>
      <c r="AD129" s="199">
        <v>47142</v>
      </c>
      <c r="AE129" s="199">
        <v>44709</v>
      </c>
      <c r="AF129" s="199">
        <v>46246</v>
      </c>
      <c r="AG129" s="199">
        <v>47832</v>
      </c>
      <c r="AH129" s="199">
        <v>38145</v>
      </c>
      <c r="AI129" s="199">
        <v>36202</v>
      </c>
      <c r="AJ129" s="199">
        <v>36244</v>
      </c>
      <c r="AK129" s="199">
        <v>52594</v>
      </c>
      <c r="AL129" s="199">
        <v>51304</v>
      </c>
      <c r="AM129" s="199">
        <v>48291</v>
      </c>
      <c r="AN129" s="199">
        <v>45297</v>
      </c>
      <c r="AO129" s="199">
        <v>42297</v>
      </c>
      <c r="AP129" s="199">
        <v>40447</v>
      </c>
      <c r="AQ129" s="199">
        <v>51866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3"/>
  <headerFooter alignWithMargins="0">
    <oddFooter>&amp;L&amp;8&amp;Z&amp;F&amp;C&amp;8&amp;D - &amp;T&amp;R&amp;8 1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AR60"/>
  <sheetViews>
    <sheetView zoomScalePageLayoutView="0" workbookViewId="0" topLeftCell="A1">
      <pane xSplit="1" ySplit="5" topLeftCell="B6" activePane="bottomRight" state="frozen"/>
      <selection pane="topLeft" activeCell="AD65" sqref="AD65"/>
      <selection pane="topRight" activeCell="AD65" sqref="AD65"/>
      <selection pane="bottomLeft" activeCell="AD65" sqref="AD65"/>
      <selection pane="bottomRight" activeCell="C11" sqref="C11"/>
    </sheetView>
  </sheetViews>
  <sheetFormatPr defaultColWidth="12.83203125" defaultRowHeight="12.75"/>
  <cols>
    <col min="1" max="1" width="40.16015625" style="144" customWidth="1"/>
    <col min="2" max="19" width="12.83203125" style="144" customWidth="1"/>
    <col min="20" max="21" width="13" style="144" customWidth="1"/>
    <col min="22" max="41" width="12.83203125" style="144" customWidth="1"/>
    <col min="42" max="16384" width="12.83203125" style="144" customWidth="1"/>
  </cols>
  <sheetData>
    <row r="1" spans="1:26" ht="20.25">
      <c r="A1" s="142" t="s">
        <v>164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1.25">
      <c r="A2" s="143" t="s">
        <v>120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96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43" ht="11.25">
      <c r="A3" s="100" t="s">
        <v>156</v>
      </c>
      <c r="B3" s="101" t="s">
        <v>128</v>
      </c>
      <c r="C3" s="101" t="s">
        <v>129</v>
      </c>
      <c r="D3" s="101" t="s">
        <v>130</v>
      </c>
      <c r="E3" s="101" t="s">
        <v>131</v>
      </c>
      <c r="F3" s="100" t="s">
        <v>132</v>
      </c>
      <c r="G3" s="101" t="s">
        <v>126</v>
      </c>
      <c r="H3" s="100" t="s">
        <v>106</v>
      </c>
      <c r="I3" s="102" t="s">
        <v>105</v>
      </c>
      <c r="J3" s="102" t="s">
        <v>107</v>
      </c>
      <c r="K3" s="102" t="s">
        <v>108</v>
      </c>
      <c r="L3" s="102" t="s">
        <v>109</v>
      </c>
      <c r="M3" s="102" t="s">
        <v>110</v>
      </c>
      <c r="N3" s="102" t="s">
        <v>111</v>
      </c>
      <c r="O3" s="103" t="s">
        <v>112</v>
      </c>
      <c r="P3" s="104" t="s">
        <v>113</v>
      </c>
      <c r="Q3" s="104" t="s">
        <v>114</v>
      </c>
      <c r="R3" s="104" t="s">
        <v>117</v>
      </c>
      <c r="S3" s="104" t="s">
        <v>118</v>
      </c>
      <c r="T3" s="102" t="s">
        <v>127</v>
      </c>
      <c r="U3" s="102" t="s">
        <v>145</v>
      </c>
      <c r="V3" s="145" t="s">
        <v>146</v>
      </c>
      <c r="W3" s="103" t="s">
        <v>265</v>
      </c>
      <c r="X3" s="103" t="s">
        <v>267</v>
      </c>
      <c r="Y3" s="101" t="s">
        <v>268</v>
      </c>
      <c r="Z3" s="101" t="s">
        <v>269</v>
      </c>
      <c r="AA3" s="101" t="s">
        <v>270</v>
      </c>
      <c r="AB3" s="101" t="s">
        <v>271</v>
      </c>
      <c r="AC3" s="101" t="s">
        <v>272</v>
      </c>
      <c r="AD3" s="101" t="s">
        <v>273</v>
      </c>
      <c r="AE3" s="101" t="s">
        <v>274</v>
      </c>
      <c r="AF3" s="101" t="s">
        <v>275</v>
      </c>
      <c r="AG3" s="101" t="s">
        <v>276</v>
      </c>
      <c r="AH3" s="101" t="s">
        <v>277</v>
      </c>
      <c r="AI3" s="101" t="s">
        <v>278</v>
      </c>
      <c r="AJ3" s="101" t="s">
        <v>279</v>
      </c>
      <c r="AK3" s="101" t="s">
        <v>280</v>
      </c>
      <c r="AL3" s="101" t="s">
        <v>281</v>
      </c>
      <c r="AM3" s="101" t="s">
        <v>282</v>
      </c>
      <c r="AN3" s="101" t="s">
        <v>283</v>
      </c>
      <c r="AO3" s="101" t="s">
        <v>284</v>
      </c>
      <c r="AP3" s="101" t="s">
        <v>285</v>
      </c>
      <c r="AQ3" s="101" t="s">
        <v>303</v>
      </c>
    </row>
    <row r="4" spans="1:43" ht="11.25">
      <c r="A4" s="146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2"/>
      <c r="O4" s="102"/>
      <c r="P4" s="104"/>
      <c r="Q4" s="104"/>
      <c r="R4" s="104"/>
      <c r="S4" s="104"/>
      <c r="T4" s="104"/>
      <c r="U4" s="104"/>
      <c r="V4" s="108"/>
      <c r="W4" s="108" t="s">
        <v>167</v>
      </c>
      <c r="X4" s="108" t="s">
        <v>171</v>
      </c>
      <c r="Y4" s="108" t="s">
        <v>172</v>
      </c>
      <c r="Z4" s="108" t="s">
        <v>173</v>
      </c>
      <c r="AA4" s="108" t="s">
        <v>174</v>
      </c>
      <c r="AB4" s="108" t="s">
        <v>175</v>
      </c>
      <c r="AC4" s="108" t="s">
        <v>176</v>
      </c>
      <c r="AD4" s="108" t="s">
        <v>0</v>
      </c>
      <c r="AE4" s="108" t="s">
        <v>1</v>
      </c>
      <c r="AF4" s="108" t="s">
        <v>2</v>
      </c>
      <c r="AG4" s="108" t="s">
        <v>3</v>
      </c>
      <c r="AH4" s="108" t="s">
        <v>4</v>
      </c>
      <c r="AI4" s="108" t="s">
        <v>5</v>
      </c>
      <c r="AJ4" s="108" t="s">
        <v>6</v>
      </c>
      <c r="AK4" s="108" t="s">
        <v>7</v>
      </c>
      <c r="AL4" s="108" t="s">
        <v>8</v>
      </c>
      <c r="AM4" s="108" t="s">
        <v>226</v>
      </c>
      <c r="AN4" s="108" t="s">
        <v>227</v>
      </c>
      <c r="AO4" s="108" t="s">
        <v>228</v>
      </c>
      <c r="AP4" s="108" t="s">
        <v>229</v>
      </c>
      <c r="AQ4" s="108" t="s">
        <v>230</v>
      </c>
    </row>
    <row r="5" spans="1:43" ht="11.25">
      <c r="A5" s="146"/>
      <c r="B5" s="100" t="s">
        <v>20</v>
      </c>
      <c r="C5" s="100" t="s">
        <v>20</v>
      </c>
      <c r="D5" s="100" t="s">
        <v>20</v>
      </c>
      <c r="E5" s="100" t="s">
        <v>20</v>
      </c>
      <c r="F5" s="100" t="s">
        <v>20</v>
      </c>
      <c r="G5" s="100" t="s">
        <v>20</v>
      </c>
      <c r="H5" s="100" t="s">
        <v>20</v>
      </c>
      <c r="I5" s="109" t="s">
        <v>20</v>
      </c>
      <c r="J5" s="109" t="s">
        <v>20</v>
      </c>
      <c r="K5" s="109" t="s">
        <v>20</v>
      </c>
      <c r="L5" s="109" t="s">
        <v>20</v>
      </c>
      <c r="M5" s="109" t="s">
        <v>20</v>
      </c>
      <c r="N5" s="109" t="s">
        <v>20</v>
      </c>
      <c r="O5" s="109" t="s">
        <v>20</v>
      </c>
      <c r="P5" s="110" t="s">
        <v>20</v>
      </c>
      <c r="Q5" s="110" t="s">
        <v>20</v>
      </c>
      <c r="R5" s="110" t="s">
        <v>20</v>
      </c>
      <c r="S5" s="110" t="s">
        <v>20</v>
      </c>
      <c r="T5" s="110" t="s">
        <v>20</v>
      </c>
      <c r="U5" s="110" t="s">
        <v>20</v>
      </c>
      <c r="V5" s="109" t="s">
        <v>20</v>
      </c>
      <c r="W5" s="109" t="s">
        <v>20</v>
      </c>
      <c r="X5" s="109" t="s">
        <v>20</v>
      </c>
      <c r="Y5" s="109" t="s">
        <v>20</v>
      </c>
      <c r="Z5" s="109" t="s">
        <v>20</v>
      </c>
      <c r="AA5" s="100" t="s">
        <v>20</v>
      </c>
      <c r="AB5" s="100" t="s">
        <v>20</v>
      </c>
      <c r="AC5" s="100" t="s">
        <v>20</v>
      </c>
      <c r="AD5" s="100" t="s">
        <v>20</v>
      </c>
      <c r="AE5" s="100" t="s">
        <v>20</v>
      </c>
      <c r="AF5" s="100" t="s">
        <v>20</v>
      </c>
      <c r="AG5" s="100" t="s">
        <v>20</v>
      </c>
      <c r="AH5" s="100" t="s">
        <v>20</v>
      </c>
      <c r="AI5" s="100" t="s">
        <v>20</v>
      </c>
      <c r="AJ5" s="100" t="s">
        <v>20</v>
      </c>
      <c r="AK5" s="100" t="s">
        <v>20</v>
      </c>
      <c r="AL5" s="100" t="s">
        <v>20</v>
      </c>
      <c r="AM5" s="100" t="s">
        <v>20</v>
      </c>
      <c r="AN5" s="100" t="s">
        <v>20</v>
      </c>
      <c r="AO5" s="100" t="s">
        <v>20</v>
      </c>
      <c r="AP5" s="100" t="s">
        <v>20</v>
      </c>
      <c r="AQ5" s="100" t="s">
        <v>20</v>
      </c>
    </row>
    <row r="6" spans="1:43" ht="11.25">
      <c r="A6" s="201" t="s">
        <v>45</v>
      </c>
      <c r="B6" s="147"/>
      <c r="C6" s="147"/>
      <c r="D6" s="147"/>
      <c r="E6" s="147"/>
      <c r="F6" s="147"/>
      <c r="G6" s="147"/>
      <c r="H6" s="147"/>
      <c r="I6" s="147"/>
      <c r="J6" s="147"/>
      <c r="K6" s="148"/>
      <c r="L6" s="148"/>
      <c r="M6" s="148"/>
      <c r="N6" s="148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ht="11.25">
      <c r="A7" s="202" t="s">
        <v>38</v>
      </c>
      <c r="B7" s="149">
        <v>8873</v>
      </c>
      <c r="C7" s="149">
        <v>13570</v>
      </c>
      <c r="D7" s="149">
        <v>11349</v>
      </c>
      <c r="E7" s="149">
        <v>15882</v>
      </c>
      <c r="F7" s="149">
        <v>15334</v>
      </c>
      <c r="G7" s="149">
        <v>15352</v>
      </c>
      <c r="H7" s="149">
        <v>14750</v>
      </c>
      <c r="I7" s="149">
        <v>20880</v>
      </c>
      <c r="J7" s="149">
        <v>19714</v>
      </c>
      <c r="K7" s="149">
        <v>25010</v>
      </c>
      <c r="L7" s="149">
        <v>24085</v>
      </c>
      <c r="M7" s="149">
        <v>24102</v>
      </c>
      <c r="N7" s="149">
        <v>31100</v>
      </c>
      <c r="O7" s="149">
        <v>36781</v>
      </c>
      <c r="P7" s="149">
        <v>46935</v>
      </c>
      <c r="Q7" s="149">
        <v>40745</v>
      </c>
      <c r="R7" s="149">
        <v>43964</v>
      </c>
      <c r="S7" s="149">
        <v>44286</v>
      </c>
      <c r="T7" s="149">
        <v>29748</v>
      </c>
      <c r="U7" s="149">
        <v>51949</v>
      </c>
      <c r="V7" s="149">
        <v>50126</v>
      </c>
      <c r="W7" s="149">
        <v>27445</v>
      </c>
      <c r="X7" s="149">
        <v>23042.815</v>
      </c>
      <c r="Y7" s="149">
        <v>20684.042683238466</v>
      </c>
      <c r="Z7" s="149">
        <v>21107.588989446336</v>
      </c>
      <c r="AA7" s="149">
        <v>21855.180320947922</v>
      </c>
      <c r="AB7" s="149">
        <v>22478.1953063275</v>
      </c>
      <c r="AC7" s="149">
        <v>25327.57393890466</v>
      </c>
      <c r="AD7" s="149">
        <v>25235.720309133805</v>
      </c>
      <c r="AE7" s="149">
        <v>25342.686757762414</v>
      </c>
      <c r="AF7" s="149">
        <v>26249.15644425707</v>
      </c>
      <c r="AG7" s="149">
        <v>26578.400641723794</v>
      </c>
      <c r="AH7" s="149">
        <v>29290.780375285598</v>
      </c>
      <c r="AI7" s="149">
        <v>29134.036131055265</v>
      </c>
      <c r="AJ7" s="149">
        <v>28842.4158915046</v>
      </c>
      <c r="AK7" s="149">
        <v>30228.201992668222</v>
      </c>
      <c r="AL7" s="149">
        <v>31346.894185368546</v>
      </c>
      <c r="AM7" s="149">
        <v>32620.622956841846</v>
      </c>
      <c r="AN7" s="149">
        <v>35980.01149020823</v>
      </c>
      <c r="AO7" s="149">
        <v>39745.01506402415</v>
      </c>
      <c r="AP7" s="149">
        <v>49786.39237048339</v>
      </c>
      <c r="AQ7" s="149">
        <v>67795.84592608019</v>
      </c>
    </row>
    <row r="8" spans="1:43" ht="11.25">
      <c r="A8" s="203" t="s">
        <v>39</v>
      </c>
      <c r="B8" s="148">
        <v>8417</v>
      </c>
      <c r="C8" s="148">
        <v>7280</v>
      </c>
      <c r="D8" s="148">
        <v>3403</v>
      </c>
      <c r="E8" s="148">
        <v>2183</v>
      </c>
      <c r="F8" s="148">
        <v>4757</v>
      </c>
      <c r="G8" s="148">
        <v>4322</v>
      </c>
      <c r="H8" s="148">
        <v>6402</v>
      </c>
      <c r="I8" s="148">
        <v>5085</v>
      </c>
      <c r="J8" s="148">
        <v>5223</v>
      </c>
      <c r="K8" s="148">
        <v>3707</v>
      </c>
      <c r="L8" s="148">
        <v>3702</v>
      </c>
      <c r="M8" s="148">
        <v>5668</v>
      </c>
      <c r="N8" s="148">
        <v>3202</v>
      </c>
      <c r="O8" s="148">
        <v>5415</v>
      </c>
      <c r="P8" s="148">
        <v>6635</v>
      </c>
      <c r="Q8" s="148">
        <v>6587</v>
      </c>
      <c r="R8" s="148">
        <v>8759</v>
      </c>
      <c r="S8" s="148">
        <v>6429</v>
      </c>
      <c r="T8" s="148">
        <v>9012</v>
      </c>
      <c r="U8" s="148">
        <v>8009</v>
      </c>
      <c r="V8" s="148">
        <v>8119</v>
      </c>
      <c r="W8" s="148">
        <v>8874</v>
      </c>
      <c r="X8" s="148">
        <v>9397.185</v>
      </c>
      <c r="Y8" s="148">
        <v>9947.052435</v>
      </c>
      <c r="Z8" s="148">
        <v>10524.963109184999</v>
      </c>
      <c r="AA8" s="148">
        <v>11132.347227753433</v>
      </c>
      <c r="AB8" s="148">
        <v>11770.707936368857</v>
      </c>
      <c r="AC8" s="148">
        <v>12441.625041123669</v>
      </c>
      <c r="AD8" s="148">
        <v>13146.758918220976</v>
      </c>
      <c r="AE8" s="148">
        <v>13887.854623050245</v>
      </c>
      <c r="AF8" s="148">
        <v>14666.746208825807</v>
      </c>
      <c r="AG8" s="148">
        <v>15485.361265475924</v>
      </c>
      <c r="AH8" s="148">
        <v>16345.725690015195</v>
      </c>
      <c r="AI8" s="148">
        <v>17249.96870020597</v>
      </c>
      <c r="AJ8" s="148">
        <v>18200.328103916472</v>
      </c>
      <c r="AK8" s="148">
        <v>19199.15583721621</v>
      </c>
      <c r="AL8" s="148">
        <v>20248.923784914237</v>
      </c>
      <c r="AM8" s="148">
        <v>21352.229897944864</v>
      </c>
      <c r="AN8" s="148">
        <v>22511.804622740052</v>
      </c>
      <c r="AO8" s="148">
        <v>23730.517658499793</v>
      </c>
      <c r="AP8" s="148">
        <v>25011.38505908328</v>
      </c>
      <c r="AQ8" s="148">
        <v>26358.576697096527</v>
      </c>
    </row>
    <row r="9" spans="1:43" ht="11.25">
      <c r="A9" s="203" t="s">
        <v>41</v>
      </c>
      <c r="B9" s="148">
        <v>2283</v>
      </c>
      <c r="C9" s="148">
        <v>1933</v>
      </c>
      <c r="D9" s="148">
        <v>526</v>
      </c>
      <c r="E9" s="148">
        <v>821</v>
      </c>
      <c r="F9" s="148">
        <v>621</v>
      </c>
      <c r="G9" s="148">
        <v>623</v>
      </c>
      <c r="H9" s="148">
        <v>568</v>
      </c>
      <c r="I9" s="148">
        <v>893</v>
      </c>
      <c r="J9" s="148">
        <v>622</v>
      </c>
      <c r="K9" s="148">
        <v>737</v>
      </c>
      <c r="L9" s="148">
        <v>1404</v>
      </c>
      <c r="M9" s="148">
        <v>665</v>
      </c>
      <c r="N9" s="148">
        <v>762</v>
      </c>
      <c r="O9" s="148">
        <v>973</v>
      </c>
      <c r="P9" s="148">
        <v>946</v>
      </c>
      <c r="Q9" s="148">
        <v>1489</v>
      </c>
      <c r="R9" s="148">
        <v>1370</v>
      </c>
      <c r="S9" s="148">
        <v>1040</v>
      </c>
      <c r="T9" s="148">
        <v>2538</v>
      </c>
      <c r="U9" s="148">
        <v>1256</v>
      </c>
      <c r="V9" s="148">
        <v>1234</v>
      </c>
      <c r="W9" s="148">
        <v>1497</v>
      </c>
      <c r="X9" s="148">
        <v>1497</v>
      </c>
      <c r="Y9" s="148">
        <v>1497</v>
      </c>
      <c r="Z9" s="148">
        <v>1497</v>
      </c>
      <c r="AA9" s="148">
        <v>1497</v>
      </c>
      <c r="AB9" s="148">
        <v>1497</v>
      </c>
      <c r="AC9" s="148">
        <v>1497</v>
      </c>
      <c r="AD9" s="148">
        <v>1497</v>
      </c>
      <c r="AE9" s="148">
        <v>1497</v>
      </c>
      <c r="AF9" s="148">
        <v>1497</v>
      </c>
      <c r="AG9" s="148">
        <v>1497</v>
      </c>
      <c r="AH9" s="148">
        <v>1497</v>
      </c>
      <c r="AI9" s="148">
        <v>1497</v>
      </c>
      <c r="AJ9" s="148">
        <v>1497</v>
      </c>
      <c r="AK9" s="148">
        <v>1497</v>
      </c>
      <c r="AL9" s="148">
        <v>1497</v>
      </c>
      <c r="AM9" s="148">
        <v>1497</v>
      </c>
      <c r="AN9" s="148">
        <v>1497</v>
      </c>
      <c r="AO9" s="148">
        <v>1497</v>
      </c>
      <c r="AP9" s="148">
        <v>1497</v>
      </c>
      <c r="AQ9" s="148">
        <v>1497</v>
      </c>
    </row>
    <row r="10" spans="1:44" ht="11.25">
      <c r="A10" s="203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50"/>
    </row>
    <row r="11" spans="1:43" ht="11.25">
      <c r="A11" s="201" t="s">
        <v>54</v>
      </c>
      <c r="B11" s="151">
        <v>19573</v>
      </c>
      <c r="C11" s="151">
        <v>22783</v>
      </c>
      <c r="D11" s="151">
        <v>15278</v>
      </c>
      <c r="E11" s="151">
        <v>18886</v>
      </c>
      <c r="F11" s="151">
        <v>20712</v>
      </c>
      <c r="G11" s="151">
        <v>20297</v>
      </c>
      <c r="H11" s="151">
        <v>21720</v>
      </c>
      <c r="I11" s="151">
        <v>26858</v>
      </c>
      <c r="J11" s="151">
        <v>25559</v>
      </c>
      <c r="K11" s="151">
        <v>29454</v>
      </c>
      <c r="L11" s="151">
        <v>29191</v>
      </c>
      <c r="M11" s="151">
        <v>30435</v>
      </c>
      <c r="N11" s="151">
        <v>35064</v>
      </c>
      <c r="O11" s="151">
        <v>43169</v>
      </c>
      <c r="P11" s="151">
        <v>54516</v>
      </c>
      <c r="Q11" s="151">
        <v>48821</v>
      </c>
      <c r="R11" s="151">
        <v>54093</v>
      </c>
      <c r="S11" s="151">
        <v>51755</v>
      </c>
      <c r="T11" s="151">
        <v>41298</v>
      </c>
      <c r="U11" s="151">
        <v>61214</v>
      </c>
      <c r="V11" s="153">
        <v>59479</v>
      </c>
      <c r="W11" s="153">
        <v>37816</v>
      </c>
      <c r="X11" s="153">
        <v>33937</v>
      </c>
      <c r="Y11" s="153">
        <v>32128.095118238467</v>
      </c>
      <c r="Z11" s="153">
        <v>33129.552098631335</v>
      </c>
      <c r="AA11" s="153">
        <v>34484.52754870136</v>
      </c>
      <c r="AB11" s="153">
        <v>35745.90324269635</v>
      </c>
      <c r="AC11" s="153">
        <v>39266.19898002833</v>
      </c>
      <c r="AD11" s="153">
        <v>39879.47922735478</v>
      </c>
      <c r="AE11" s="153">
        <v>40727.54138081266</v>
      </c>
      <c r="AF11" s="153">
        <v>42412.90265308288</v>
      </c>
      <c r="AG11" s="153">
        <v>43560.76190719972</v>
      </c>
      <c r="AH11" s="153">
        <v>47133.5060653008</v>
      </c>
      <c r="AI11" s="153">
        <v>47881.004831261234</v>
      </c>
      <c r="AJ11" s="153">
        <v>48539.74399542107</v>
      </c>
      <c r="AK11" s="153">
        <v>50924.35782988444</v>
      </c>
      <c r="AL11" s="153">
        <v>53092.817970282784</v>
      </c>
      <c r="AM11" s="153">
        <v>55469.85285478671</v>
      </c>
      <c r="AN11" s="153">
        <v>59988.816112948276</v>
      </c>
      <c r="AO11" s="153">
        <v>64972.532722523945</v>
      </c>
      <c r="AP11" s="153">
        <v>76294.77742956666</v>
      </c>
      <c r="AQ11" s="153">
        <v>95651.42262317671</v>
      </c>
    </row>
    <row r="12" spans="1:43" ht="11.25">
      <c r="A12" s="203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</row>
    <row r="13" spans="1:43" ht="11.25">
      <c r="A13" s="201" t="s">
        <v>46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52"/>
      <c r="R13" s="152"/>
      <c r="S13" s="152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</row>
    <row r="14" spans="1:43" ht="11.25">
      <c r="A14" s="203" t="s">
        <v>42</v>
      </c>
      <c r="B14" s="148">
        <v>3467</v>
      </c>
      <c r="C14" s="148">
        <v>3704</v>
      </c>
      <c r="D14" s="148">
        <v>3359</v>
      </c>
      <c r="E14" s="148">
        <v>4361</v>
      </c>
      <c r="F14" s="148">
        <v>3751</v>
      </c>
      <c r="G14" s="148">
        <v>4214</v>
      </c>
      <c r="H14" s="148">
        <v>5402</v>
      </c>
      <c r="I14" s="148">
        <v>6102</v>
      </c>
      <c r="J14" s="148">
        <v>5470</v>
      </c>
      <c r="K14" s="148">
        <v>5583</v>
      </c>
      <c r="L14" s="148">
        <v>4763</v>
      </c>
      <c r="M14" s="148">
        <v>5964</v>
      </c>
      <c r="N14" s="148">
        <v>4973</v>
      </c>
      <c r="O14" s="148">
        <v>8721</v>
      </c>
      <c r="P14" s="148">
        <v>8475</v>
      </c>
      <c r="Q14" s="148">
        <v>6134</v>
      </c>
      <c r="R14" s="148">
        <v>8530</v>
      </c>
      <c r="S14" s="148">
        <v>8550</v>
      </c>
      <c r="T14" s="148">
        <v>6130</v>
      </c>
      <c r="U14" s="148">
        <v>7447</v>
      </c>
      <c r="V14" s="148">
        <v>6093</v>
      </c>
      <c r="W14" s="148">
        <v>6093</v>
      </c>
      <c r="X14" s="148">
        <v>6093</v>
      </c>
      <c r="Y14" s="148">
        <v>6093</v>
      </c>
      <c r="Z14" s="148">
        <v>6093</v>
      </c>
      <c r="AA14" s="148">
        <v>6093</v>
      </c>
      <c r="AB14" s="148">
        <v>6093</v>
      </c>
      <c r="AC14" s="148">
        <v>6093</v>
      </c>
      <c r="AD14" s="148">
        <v>6093</v>
      </c>
      <c r="AE14" s="148">
        <v>6093</v>
      </c>
      <c r="AF14" s="148">
        <v>6093</v>
      </c>
      <c r="AG14" s="148">
        <v>6093</v>
      </c>
      <c r="AH14" s="148">
        <v>6093</v>
      </c>
      <c r="AI14" s="148">
        <v>6093</v>
      </c>
      <c r="AJ14" s="148">
        <v>6093</v>
      </c>
      <c r="AK14" s="148">
        <v>6093</v>
      </c>
      <c r="AL14" s="148">
        <v>6093</v>
      </c>
      <c r="AM14" s="148">
        <v>6093</v>
      </c>
      <c r="AN14" s="148">
        <v>6093</v>
      </c>
      <c r="AO14" s="148">
        <v>6093</v>
      </c>
      <c r="AP14" s="148">
        <v>6093</v>
      </c>
      <c r="AQ14" s="148">
        <v>6093</v>
      </c>
    </row>
    <row r="15" spans="1:43" ht="11.25">
      <c r="A15" s="203" t="s">
        <v>241</v>
      </c>
      <c r="B15" s="148">
        <v>1407</v>
      </c>
      <c r="C15" s="148">
        <v>1071</v>
      </c>
      <c r="D15" s="148">
        <v>1203</v>
      </c>
      <c r="E15" s="148">
        <v>1430</v>
      </c>
      <c r="F15" s="148">
        <v>959</v>
      </c>
      <c r="G15" s="148">
        <v>1033</v>
      </c>
      <c r="H15" s="148">
        <v>1561</v>
      </c>
      <c r="I15" s="148">
        <v>1467</v>
      </c>
      <c r="J15" s="148">
        <v>1663</v>
      </c>
      <c r="K15" s="148">
        <v>1959</v>
      </c>
      <c r="L15" s="148">
        <v>1562</v>
      </c>
      <c r="M15" s="148">
        <v>1384</v>
      </c>
      <c r="N15" s="148">
        <v>1597</v>
      </c>
      <c r="O15" s="148">
        <v>1621</v>
      </c>
      <c r="P15" s="148">
        <v>1670</v>
      </c>
      <c r="Q15" s="148">
        <v>1868</v>
      </c>
      <c r="R15" s="148">
        <v>2169</v>
      </c>
      <c r="S15" s="148">
        <v>2279</v>
      </c>
      <c r="T15" s="148">
        <v>2357</v>
      </c>
      <c r="U15" s="148">
        <v>2444</v>
      </c>
      <c r="V15" s="148">
        <v>3120</v>
      </c>
      <c r="W15" s="148">
        <v>3383</v>
      </c>
      <c r="X15" s="148">
        <v>3383</v>
      </c>
      <c r="Y15" s="148">
        <v>3383</v>
      </c>
      <c r="Z15" s="148">
        <v>3383</v>
      </c>
      <c r="AA15" s="148">
        <v>3383</v>
      </c>
      <c r="AB15" s="148">
        <v>3383</v>
      </c>
      <c r="AC15" s="148">
        <v>3383</v>
      </c>
      <c r="AD15" s="148">
        <v>3383</v>
      </c>
      <c r="AE15" s="148">
        <v>3383</v>
      </c>
      <c r="AF15" s="148">
        <v>3383</v>
      </c>
      <c r="AG15" s="148">
        <v>3383</v>
      </c>
      <c r="AH15" s="148">
        <v>3383</v>
      </c>
      <c r="AI15" s="148">
        <v>3383</v>
      </c>
      <c r="AJ15" s="148">
        <v>3383</v>
      </c>
      <c r="AK15" s="148">
        <v>3383</v>
      </c>
      <c r="AL15" s="148">
        <v>3383</v>
      </c>
      <c r="AM15" s="148">
        <v>3383</v>
      </c>
      <c r="AN15" s="148">
        <v>3383</v>
      </c>
      <c r="AO15" s="148">
        <v>3383</v>
      </c>
      <c r="AP15" s="148">
        <v>3383</v>
      </c>
      <c r="AQ15" s="148">
        <v>3383</v>
      </c>
    </row>
    <row r="16" spans="1:43" ht="11.25">
      <c r="A16" s="203" t="s">
        <v>43</v>
      </c>
      <c r="B16" s="148">
        <v>2710</v>
      </c>
      <c r="C16" s="148">
        <v>2061</v>
      </c>
      <c r="D16" s="148">
        <v>4114</v>
      </c>
      <c r="E16" s="148">
        <v>6406</v>
      </c>
      <c r="F16" s="148">
        <v>2931</v>
      </c>
      <c r="G16" s="148">
        <v>2976</v>
      </c>
      <c r="H16" s="148">
        <v>3084</v>
      </c>
      <c r="I16" s="148">
        <v>3471</v>
      </c>
      <c r="J16" s="148">
        <v>4742</v>
      </c>
      <c r="K16" s="148">
        <v>3287</v>
      </c>
      <c r="L16" s="148">
        <v>4938</v>
      </c>
      <c r="M16" s="148">
        <v>4566</v>
      </c>
      <c r="N16" s="148">
        <v>2805</v>
      </c>
      <c r="O16" s="148">
        <v>2557</v>
      </c>
      <c r="P16" s="148">
        <v>2670</v>
      </c>
      <c r="Q16" s="148">
        <v>2998</v>
      </c>
      <c r="R16" s="148">
        <v>3387</v>
      </c>
      <c r="S16" s="148">
        <v>3379</v>
      </c>
      <c r="T16" s="148">
        <v>3166</v>
      </c>
      <c r="U16" s="148">
        <v>4800</v>
      </c>
      <c r="V16" s="148">
        <v>8128</v>
      </c>
      <c r="W16" s="148">
        <v>8128</v>
      </c>
      <c r="X16" s="148">
        <v>3804.0251530115356</v>
      </c>
      <c r="Y16" s="148">
        <v>4148.823596319216</v>
      </c>
      <c r="Z16" s="148">
        <v>5185.6348104548015</v>
      </c>
      <c r="AA16" s="148">
        <v>6686.909467863131</v>
      </c>
      <c r="AB16" s="148">
        <v>8062.343211145163</v>
      </c>
      <c r="AC16" s="148">
        <v>9391.797667928047</v>
      </c>
      <c r="AD16" s="148">
        <v>9087.528112840682</v>
      </c>
      <c r="AE16" s="148">
        <v>8057.113181983664</v>
      </c>
      <c r="AF16" s="148">
        <v>32101.403530802774</v>
      </c>
      <c r="AG16" s="148">
        <v>11337.217690774678</v>
      </c>
      <c r="AH16" s="148">
        <v>10913.890838660629</v>
      </c>
      <c r="AI16" s="148">
        <v>9666.458233181533</v>
      </c>
      <c r="AJ16" s="148">
        <v>8754.093905983074</v>
      </c>
      <c r="AK16" s="148">
        <v>9438.608196342193</v>
      </c>
      <c r="AL16" s="148">
        <v>8788.65222165463</v>
      </c>
      <c r="AM16" s="148">
        <v>9128.401579271274</v>
      </c>
      <c r="AN16" s="148">
        <v>8108.607258341021</v>
      </c>
      <c r="AO16" s="148">
        <v>3519.2775304338634</v>
      </c>
      <c r="AP16" s="148">
        <v>2350.058673814551</v>
      </c>
      <c r="AQ16" s="148">
        <v>2350.058673814551</v>
      </c>
    </row>
    <row r="17" spans="1:43" ht="11.25">
      <c r="A17" s="203" t="s">
        <v>44</v>
      </c>
      <c r="B17" s="148">
        <v>2674</v>
      </c>
      <c r="C17" s="148">
        <v>3314</v>
      </c>
      <c r="D17" s="148">
        <v>3564</v>
      </c>
      <c r="E17" s="148">
        <v>3517</v>
      </c>
      <c r="F17" s="148">
        <v>2921</v>
      </c>
      <c r="G17" s="148">
        <v>3585</v>
      </c>
      <c r="H17" s="148">
        <v>4570</v>
      </c>
      <c r="I17" s="148">
        <v>4920</v>
      </c>
      <c r="J17" s="148">
        <v>6960</v>
      </c>
      <c r="K17" s="148">
        <v>5501</v>
      </c>
      <c r="L17" s="148">
        <v>6544</v>
      </c>
      <c r="M17" s="148">
        <v>6794</v>
      </c>
      <c r="N17" s="148">
        <v>7677</v>
      </c>
      <c r="O17" s="148">
        <v>8241</v>
      </c>
      <c r="P17" s="148">
        <v>8735</v>
      </c>
      <c r="Q17" s="148">
        <v>8596</v>
      </c>
      <c r="R17" s="148">
        <v>8875</v>
      </c>
      <c r="S17" s="148">
        <v>19405</v>
      </c>
      <c r="T17" s="148">
        <v>10121</v>
      </c>
      <c r="U17" s="148">
        <v>11617</v>
      </c>
      <c r="V17" s="148">
        <v>12239</v>
      </c>
      <c r="W17" s="148">
        <v>12239</v>
      </c>
      <c r="X17" s="148">
        <v>12239</v>
      </c>
      <c r="Y17" s="148">
        <v>12239</v>
      </c>
      <c r="Z17" s="148">
        <v>12239</v>
      </c>
      <c r="AA17" s="148">
        <v>12239</v>
      </c>
      <c r="AB17" s="148">
        <v>12239</v>
      </c>
      <c r="AC17" s="148">
        <v>12239</v>
      </c>
      <c r="AD17" s="148">
        <v>12239</v>
      </c>
      <c r="AE17" s="148">
        <v>12239</v>
      </c>
      <c r="AF17" s="148">
        <v>12239</v>
      </c>
      <c r="AG17" s="148">
        <v>12239</v>
      </c>
      <c r="AH17" s="148">
        <v>12239</v>
      </c>
      <c r="AI17" s="148">
        <v>12239</v>
      </c>
      <c r="AJ17" s="148">
        <v>12239</v>
      </c>
      <c r="AK17" s="148">
        <v>12239</v>
      </c>
      <c r="AL17" s="148">
        <v>12239</v>
      </c>
      <c r="AM17" s="148">
        <v>12239</v>
      </c>
      <c r="AN17" s="148">
        <v>12239</v>
      </c>
      <c r="AO17" s="148">
        <v>12239</v>
      </c>
      <c r="AP17" s="148">
        <v>12239</v>
      </c>
      <c r="AQ17" s="148">
        <v>12239</v>
      </c>
    </row>
    <row r="18" spans="1:43" ht="11.25">
      <c r="A18" s="203"/>
      <c r="B18" s="148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25"/>
      <c r="S18" s="125"/>
      <c r="T18" s="113"/>
      <c r="U18" s="113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</row>
    <row r="19" spans="1:43" ht="11.25">
      <c r="A19" s="201" t="s">
        <v>47</v>
      </c>
      <c r="B19" s="151">
        <v>10258</v>
      </c>
      <c r="C19" s="151">
        <v>10150</v>
      </c>
      <c r="D19" s="151">
        <v>12240</v>
      </c>
      <c r="E19" s="151">
        <v>15714</v>
      </c>
      <c r="F19" s="151">
        <v>10562</v>
      </c>
      <c r="G19" s="151">
        <v>11808</v>
      </c>
      <c r="H19" s="151">
        <v>14617</v>
      </c>
      <c r="I19" s="151">
        <v>15960</v>
      </c>
      <c r="J19" s="151">
        <v>18835</v>
      </c>
      <c r="K19" s="151">
        <v>16330</v>
      </c>
      <c r="L19" s="151">
        <v>17807</v>
      </c>
      <c r="M19" s="151">
        <v>18708</v>
      </c>
      <c r="N19" s="151">
        <v>17052</v>
      </c>
      <c r="O19" s="151">
        <v>21140</v>
      </c>
      <c r="P19" s="151">
        <v>21550</v>
      </c>
      <c r="Q19" s="151">
        <v>19596</v>
      </c>
      <c r="R19" s="151">
        <v>22961</v>
      </c>
      <c r="S19" s="151">
        <v>33613</v>
      </c>
      <c r="T19" s="151">
        <v>21774</v>
      </c>
      <c r="U19" s="151">
        <v>26308</v>
      </c>
      <c r="V19" s="153">
        <v>29580</v>
      </c>
      <c r="W19" s="153">
        <v>29843</v>
      </c>
      <c r="X19" s="153">
        <v>25519.025153011535</v>
      </c>
      <c r="Y19" s="153">
        <v>25863.823596319216</v>
      </c>
      <c r="Z19" s="153">
        <v>26900.6348104548</v>
      </c>
      <c r="AA19" s="153">
        <v>28401.90946786313</v>
      </c>
      <c r="AB19" s="153">
        <v>29777.343211145162</v>
      </c>
      <c r="AC19" s="153">
        <v>31106.797667928047</v>
      </c>
      <c r="AD19" s="153">
        <v>30802.528112840682</v>
      </c>
      <c r="AE19" s="153">
        <v>29772.113181983663</v>
      </c>
      <c r="AF19" s="153">
        <v>53816.403530802774</v>
      </c>
      <c r="AG19" s="153">
        <v>33052.217690774676</v>
      </c>
      <c r="AH19" s="153">
        <v>32628.890838660627</v>
      </c>
      <c r="AI19" s="153">
        <v>31381.458233181533</v>
      </c>
      <c r="AJ19" s="153">
        <v>30469.093905983074</v>
      </c>
      <c r="AK19" s="153">
        <v>31153.608196342193</v>
      </c>
      <c r="AL19" s="153">
        <v>30503.65222165463</v>
      </c>
      <c r="AM19" s="153">
        <v>30843.401579271274</v>
      </c>
      <c r="AN19" s="153">
        <v>29823.60725834102</v>
      </c>
      <c r="AO19" s="153">
        <v>25234.277530433865</v>
      </c>
      <c r="AP19" s="153">
        <v>24065.05867381455</v>
      </c>
      <c r="AQ19" s="153">
        <v>24065.05867381455</v>
      </c>
    </row>
    <row r="20" spans="1:43" ht="11.25">
      <c r="A20" s="203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1:43" ht="11.25">
      <c r="A21" s="201" t="s">
        <v>53</v>
      </c>
      <c r="B21" s="151">
        <v>9315</v>
      </c>
      <c r="C21" s="151">
        <v>12633</v>
      </c>
      <c r="D21" s="151">
        <v>3038</v>
      </c>
      <c r="E21" s="151">
        <v>3172</v>
      </c>
      <c r="F21" s="151">
        <v>10150</v>
      </c>
      <c r="G21" s="151">
        <v>8489</v>
      </c>
      <c r="H21" s="151">
        <v>7103</v>
      </c>
      <c r="I21" s="151">
        <v>10898</v>
      </c>
      <c r="J21" s="151">
        <v>6724</v>
      </c>
      <c r="K21" s="151">
        <v>13124</v>
      </c>
      <c r="L21" s="151">
        <v>11384</v>
      </c>
      <c r="M21" s="151">
        <v>11727</v>
      </c>
      <c r="N21" s="151">
        <v>18012</v>
      </c>
      <c r="O21" s="151">
        <v>22029</v>
      </c>
      <c r="P21" s="151">
        <v>32966</v>
      </c>
      <c r="Q21" s="151">
        <v>29225</v>
      </c>
      <c r="R21" s="151">
        <v>31132</v>
      </c>
      <c r="S21" s="151">
        <v>18142</v>
      </c>
      <c r="T21" s="151">
        <v>19524</v>
      </c>
      <c r="U21" s="151">
        <v>34906</v>
      </c>
      <c r="V21" s="153">
        <v>29899</v>
      </c>
      <c r="W21" s="153">
        <v>7973</v>
      </c>
      <c r="X21" s="153">
        <v>8417.974846988465</v>
      </c>
      <c r="Y21" s="153">
        <v>6264.2715219192505</v>
      </c>
      <c r="Z21" s="153">
        <v>6228.9172881765335</v>
      </c>
      <c r="AA21" s="153">
        <v>6082.618080838227</v>
      </c>
      <c r="AB21" s="153">
        <v>5968.560031551191</v>
      </c>
      <c r="AC21" s="153">
        <v>8159.401312100286</v>
      </c>
      <c r="AD21" s="153">
        <v>9076.951114514097</v>
      </c>
      <c r="AE21" s="153">
        <v>10955.428198828999</v>
      </c>
      <c r="AF21" s="153">
        <v>-11403.500877719896</v>
      </c>
      <c r="AG21" s="153">
        <v>10508.544216425042</v>
      </c>
      <c r="AH21" s="153">
        <v>14504.61522664017</v>
      </c>
      <c r="AI21" s="153">
        <v>16499.5465980797</v>
      </c>
      <c r="AJ21" s="153">
        <v>18070.650089437997</v>
      </c>
      <c r="AK21" s="153">
        <v>19770.749633542244</v>
      </c>
      <c r="AL21" s="153">
        <v>22589.165748628155</v>
      </c>
      <c r="AM21" s="153">
        <v>24626.451275515436</v>
      </c>
      <c r="AN21" s="153">
        <v>30165.208854607255</v>
      </c>
      <c r="AO21" s="153">
        <v>39738.25519209008</v>
      </c>
      <c r="AP21" s="153">
        <v>52229.71875575211</v>
      </c>
      <c r="AQ21" s="153">
        <v>71586.36394936216</v>
      </c>
    </row>
    <row r="22" spans="1:43" ht="11.25">
      <c r="A22" s="203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</row>
    <row r="23" spans="1:43" ht="11.25">
      <c r="A23" s="201" t="s">
        <v>48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</row>
    <row r="24" spans="1:43" ht="11.25">
      <c r="A24" s="203" t="s">
        <v>55</v>
      </c>
      <c r="B24" s="148">
        <v>231986</v>
      </c>
      <c r="C24" s="148">
        <v>93240</v>
      </c>
      <c r="D24" s="148">
        <v>571127</v>
      </c>
      <c r="E24" s="148">
        <v>565002</v>
      </c>
      <c r="F24" s="148">
        <v>558386</v>
      </c>
      <c r="G24" s="148">
        <v>532471</v>
      </c>
      <c r="H24" s="148">
        <v>549483</v>
      </c>
      <c r="I24" s="148">
        <v>529242</v>
      </c>
      <c r="J24" s="148">
        <v>564757</v>
      </c>
      <c r="K24" s="148">
        <v>772982</v>
      </c>
      <c r="L24" s="148">
        <v>810011</v>
      </c>
      <c r="M24" s="148">
        <v>861986</v>
      </c>
      <c r="N24" s="148">
        <v>869655</v>
      </c>
      <c r="O24" s="148">
        <v>999147</v>
      </c>
      <c r="P24" s="148">
        <v>1006768</v>
      </c>
      <c r="Q24" s="148">
        <v>1111695</v>
      </c>
      <c r="R24" s="148">
        <v>1466288</v>
      </c>
      <c r="S24" s="148">
        <v>1374069</v>
      </c>
      <c r="T24" s="148">
        <v>1387382</v>
      </c>
      <c r="U24" s="148">
        <v>1428440</v>
      </c>
      <c r="V24" s="148">
        <v>1564952</v>
      </c>
      <c r="W24" s="148">
        <v>1644788</v>
      </c>
      <c r="X24" s="148">
        <v>1674632</v>
      </c>
      <c r="Y24" s="148">
        <v>1707406.04</v>
      </c>
      <c r="Z24" s="148">
        <v>1742213.8816</v>
      </c>
      <c r="AA24" s="148">
        <v>1775119.196864</v>
      </c>
      <c r="AB24" s="148">
        <v>1805122.4847385602</v>
      </c>
      <c r="AC24" s="148">
        <v>1831153.9841281027</v>
      </c>
      <c r="AD24" s="148">
        <v>1860299.5834932267</v>
      </c>
      <c r="AE24" s="148">
        <v>1885339.7268329556</v>
      </c>
      <c r="AF24" s="148">
        <v>1916246.315906274</v>
      </c>
      <c r="AG24" s="148">
        <v>1941779.6085425247</v>
      </c>
      <c r="AH24" s="148">
        <v>1963382.1128842258</v>
      </c>
      <c r="AI24" s="148">
        <v>1983725.4773995948</v>
      </c>
      <c r="AJ24" s="148">
        <v>2002084.3764955786</v>
      </c>
      <c r="AK24" s="148">
        <v>2033764.3915554017</v>
      </c>
      <c r="AL24" s="148">
        <v>2051288.8872176176</v>
      </c>
      <c r="AM24" s="148">
        <v>2069170.8827063222</v>
      </c>
      <c r="AN24" s="148">
        <v>2086737.918014575</v>
      </c>
      <c r="AO24" s="148">
        <v>2107185.914735158</v>
      </c>
      <c r="AP24" s="148">
        <v>2128325.0313245645</v>
      </c>
      <c r="AQ24" s="148">
        <v>2214115.512577547</v>
      </c>
    </row>
    <row r="25" spans="1:43" ht="11.25">
      <c r="A25" s="203" t="s">
        <v>39</v>
      </c>
      <c r="B25" s="148">
        <v>2456</v>
      </c>
      <c r="C25" s="148">
        <v>4431</v>
      </c>
      <c r="D25" s="148">
        <v>4386</v>
      </c>
      <c r="E25" s="148">
        <v>558</v>
      </c>
      <c r="F25" s="148">
        <v>432</v>
      </c>
      <c r="G25" s="148">
        <v>501</v>
      </c>
      <c r="H25" s="148">
        <v>614</v>
      </c>
      <c r="I25" s="148">
        <v>581</v>
      </c>
      <c r="J25" s="148">
        <v>762</v>
      </c>
      <c r="K25" s="148">
        <v>394</v>
      </c>
      <c r="L25" s="148">
        <v>213</v>
      </c>
      <c r="M25" s="148">
        <v>159</v>
      </c>
      <c r="N25" s="148">
        <v>96</v>
      </c>
      <c r="O25" s="148">
        <v>23</v>
      </c>
      <c r="P25" s="148">
        <v>8</v>
      </c>
      <c r="Q25" s="148">
        <v>24</v>
      </c>
      <c r="R25" s="148">
        <v>54</v>
      </c>
      <c r="S25" s="148">
        <v>78</v>
      </c>
      <c r="T25" s="148">
        <v>246</v>
      </c>
      <c r="U25" s="148">
        <v>172</v>
      </c>
      <c r="V25" s="148">
        <v>122</v>
      </c>
      <c r="W25" s="148">
        <v>164</v>
      </c>
      <c r="X25" s="148">
        <v>164</v>
      </c>
      <c r="Y25" s="148">
        <v>164</v>
      </c>
      <c r="Z25" s="148">
        <v>164</v>
      </c>
      <c r="AA25" s="148">
        <v>164</v>
      </c>
      <c r="AB25" s="148">
        <v>164</v>
      </c>
      <c r="AC25" s="148">
        <v>164</v>
      </c>
      <c r="AD25" s="148">
        <v>164</v>
      </c>
      <c r="AE25" s="148">
        <v>164</v>
      </c>
      <c r="AF25" s="148">
        <v>164</v>
      </c>
      <c r="AG25" s="148">
        <v>164</v>
      </c>
      <c r="AH25" s="148">
        <v>164</v>
      </c>
      <c r="AI25" s="148">
        <v>164</v>
      </c>
      <c r="AJ25" s="148">
        <v>164</v>
      </c>
      <c r="AK25" s="148">
        <v>164</v>
      </c>
      <c r="AL25" s="148">
        <v>164</v>
      </c>
      <c r="AM25" s="148">
        <v>164</v>
      </c>
      <c r="AN25" s="148">
        <v>164</v>
      </c>
      <c r="AO25" s="148">
        <v>164</v>
      </c>
      <c r="AP25" s="148">
        <v>164</v>
      </c>
      <c r="AQ25" s="148">
        <v>164</v>
      </c>
    </row>
    <row r="26" spans="1:43" ht="11.25">
      <c r="A26" s="203" t="s">
        <v>40</v>
      </c>
      <c r="B26" s="148">
        <v>1018</v>
      </c>
      <c r="C26" s="148">
        <v>1040</v>
      </c>
      <c r="D26" s="148">
        <v>1077</v>
      </c>
      <c r="E26" s="148">
        <v>1030</v>
      </c>
      <c r="F26" s="148">
        <v>1653</v>
      </c>
      <c r="G26" s="148">
        <v>1630</v>
      </c>
      <c r="H26" s="148">
        <v>1707</v>
      </c>
      <c r="I26" s="148">
        <v>1693</v>
      </c>
      <c r="J26" s="148">
        <v>1604</v>
      </c>
      <c r="K26" s="148">
        <v>1788</v>
      </c>
      <c r="L26" s="148">
        <v>1807</v>
      </c>
      <c r="M26" s="148">
        <v>6217</v>
      </c>
      <c r="N26" s="148">
        <v>6029</v>
      </c>
      <c r="O26" s="148">
        <v>1632</v>
      </c>
      <c r="P26" s="148">
        <v>1933</v>
      </c>
      <c r="Q26" s="148">
        <v>1916</v>
      </c>
      <c r="R26" s="148">
        <v>1955</v>
      </c>
      <c r="S26" s="148">
        <v>7786</v>
      </c>
      <c r="T26" s="148">
        <v>0</v>
      </c>
      <c r="U26" s="148">
        <v>7612</v>
      </c>
      <c r="V26" s="148">
        <v>7591</v>
      </c>
      <c r="W26" s="148">
        <v>7591</v>
      </c>
      <c r="X26" s="148">
        <v>7591</v>
      </c>
      <c r="Y26" s="148">
        <v>7591</v>
      </c>
      <c r="Z26" s="148">
        <v>7591</v>
      </c>
      <c r="AA26" s="148">
        <v>7591</v>
      </c>
      <c r="AB26" s="148">
        <v>7591</v>
      </c>
      <c r="AC26" s="148">
        <v>7591</v>
      </c>
      <c r="AD26" s="148">
        <v>7591</v>
      </c>
      <c r="AE26" s="148">
        <v>7591</v>
      </c>
      <c r="AF26" s="148">
        <v>7591</v>
      </c>
      <c r="AG26" s="148">
        <v>7591</v>
      </c>
      <c r="AH26" s="148">
        <v>7591</v>
      </c>
      <c r="AI26" s="148">
        <v>7591</v>
      </c>
      <c r="AJ26" s="148">
        <v>7591</v>
      </c>
      <c r="AK26" s="148">
        <v>7591</v>
      </c>
      <c r="AL26" s="148">
        <v>7591</v>
      </c>
      <c r="AM26" s="148">
        <v>7591</v>
      </c>
      <c r="AN26" s="148">
        <v>7591</v>
      </c>
      <c r="AO26" s="148">
        <v>7591</v>
      </c>
      <c r="AP26" s="148">
        <v>7591</v>
      </c>
      <c r="AQ26" s="148">
        <v>7591</v>
      </c>
    </row>
    <row r="27" spans="1:43" ht="11.25">
      <c r="A27" s="203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</row>
    <row r="28" spans="1:43" ht="11.25">
      <c r="A28" s="201" t="s">
        <v>49</v>
      </c>
      <c r="B28" s="151">
        <v>235460</v>
      </c>
      <c r="C28" s="151">
        <v>98711</v>
      </c>
      <c r="D28" s="151">
        <v>576590</v>
      </c>
      <c r="E28" s="151">
        <v>566590</v>
      </c>
      <c r="F28" s="151">
        <v>560471</v>
      </c>
      <c r="G28" s="151">
        <v>534602</v>
      </c>
      <c r="H28" s="151">
        <v>551804</v>
      </c>
      <c r="I28" s="151">
        <v>531516</v>
      </c>
      <c r="J28" s="151">
        <v>567123</v>
      </c>
      <c r="K28" s="151">
        <v>775164</v>
      </c>
      <c r="L28" s="151">
        <v>812031</v>
      </c>
      <c r="M28" s="151">
        <v>868362</v>
      </c>
      <c r="N28" s="151">
        <v>875780</v>
      </c>
      <c r="O28" s="151">
        <v>1000802</v>
      </c>
      <c r="P28" s="151">
        <v>1008709</v>
      </c>
      <c r="Q28" s="151">
        <v>1113635</v>
      </c>
      <c r="R28" s="151">
        <v>1468297</v>
      </c>
      <c r="S28" s="151">
        <v>1381933</v>
      </c>
      <c r="T28" s="151">
        <v>1387628</v>
      </c>
      <c r="U28" s="151">
        <v>1436224</v>
      </c>
      <c r="V28" s="153">
        <v>1572665</v>
      </c>
      <c r="W28" s="153">
        <v>1652543</v>
      </c>
      <c r="X28" s="153">
        <v>1682387</v>
      </c>
      <c r="Y28" s="153">
        <v>1715161.04</v>
      </c>
      <c r="Z28" s="153">
        <v>1749968.8816</v>
      </c>
      <c r="AA28" s="153">
        <v>1782874.196864</v>
      </c>
      <c r="AB28" s="153">
        <v>1812877.4847385602</v>
      </c>
      <c r="AC28" s="153">
        <v>1838908.9841281027</v>
      </c>
      <c r="AD28" s="153">
        <v>1868054.5834932267</v>
      </c>
      <c r="AE28" s="153">
        <v>1893094.7268329556</v>
      </c>
      <c r="AF28" s="153">
        <v>1924001.315906274</v>
      </c>
      <c r="AG28" s="153">
        <v>1949534.6085425247</v>
      </c>
      <c r="AH28" s="153">
        <v>1971137.1128842258</v>
      </c>
      <c r="AI28" s="153">
        <v>1991480.4773995948</v>
      </c>
      <c r="AJ28" s="153">
        <v>2009839.3764955786</v>
      </c>
      <c r="AK28" s="153">
        <v>2041519.3915554017</v>
      </c>
      <c r="AL28" s="153">
        <v>2059043.8872176176</v>
      </c>
      <c r="AM28" s="153">
        <v>2076925.8827063222</v>
      </c>
      <c r="AN28" s="153">
        <v>2094492.918014575</v>
      </c>
      <c r="AO28" s="153">
        <v>2114940.914735158</v>
      </c>
      <c r="AP28" s="153">
        <v>2136080.0313245645</v>
      </c>
      <c r="AQ28" s="153">
        <v>2221870.512577547</v>
      </c>
    </row>
    <row r="29" spans="1:43" ht="11.25">
      <c r="A29" s="203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</row>
    <row r="30" spans="1:43" ht="11.25">
      <c r="A30" s="201" t="s">
        <v>50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</row>
    <row r="31" spans="1:43" ht="11.25">
      <c r="A31" s="203" t="s">
        <v>43</v>
      </c>
      <c r="B31" s="148">
        <v>18876</v>
      </c>
      <c r="C31" s="148">
        <v>23000</v>
      </c>
      <c r="D31" s="148">
        <v>21307</v>
      </c>
      <c r="E31" s="148">
        <v>18386</v>
      </c>
      <c r="F31" s="148">
        <v>20939</v>
      </c>
      <c r="G31" s="148">
        <v>17712</v>
      </c>
      <c r="H31" s="148">
        <v>15378</v>
      </c>
      <c r="I31" s="148">
        <v>14564</v>
      </c>
      <c r="J31" s="148">
        <v>12286</v>
      </c>
      <c r="K31" s="148">
        <v>14735</v>
      </c>
      <c r="L31" s="148">
        <v>12965</v>
      </c>
      <c r="M31" s="148">
        <v>12432</v>
      </c>
      <c r="N31" s="148">
        <v>14193</v>
      </c>
      <c r="O31" s="148">
        <v>11637</v>
      </c>
      <c r="P31" s="148">
        <v>10525</v>
      </c>
      <c r="Q31" s="148">
        <v>9197</v>
      </c>
      <c r="R31" s="148">
        <v>7807</v>
      </c>
      <c r="S31" s="148">
        <v>6815</v>
      </c>
      <c r="T31" s="148">
        <v>6072</v>
      </c>
      <c r="U31" s="148">
        <v>29347</v>
      </c>
      <c r="V31" s="148">
        <v>25019</v>
      </c>
      <c r="W31" s="148">
        <v>40019</v>
      </c>
      <c r="X31" s="148">
        <v>44342.974846988465</v>
      </c>
      <c r="Y31" s="148">
        <v>46998.15125066925</v>
      </c>
      <c r="Z31" s="148">
        <v>53961.51644021445</v>
      </c>
      <c r="AA31" s="148">
        <v>59460.606972351314</v>
      </c>
      <c r="AB31" s="148">
        <v>61085.26376120616</v>
      </c>
      <c r="AC31" s="148">
        <v>59755.466093278104</v>
      </c>
      <c r="AD31" s="148">
        <v>60059.93798043743</v>
      </c>
      <c r="AE31" s="148">
        <v>54090.82479845377</v>
      </c>
      <c r="AF31" s="148">
        <v>32046.421267650992</v>
      </c>
      <c r="AG31" s="148">
        <v>50810.203576876316</v>
      </c>
      <c r="AH31" s="148">
        <v>48233.31273821569</v>
      </c>
      <c r="AI31" s="148">
        <v>38566.854505034156</v>
      </c>
      <c r="AJ31" s="148">
        <v>29812.760599051082</v>
      </c>
      <c r="AK31" s="148">
        <v>35128.15240270889</v>
      </c>
      <c r="AL31" s="148">
        <v>28778.50018105426</v>
      </c>
      <c r="AM31" s="148">
        <v>19650.098601782985</v>
      </c>
      <c r="AN31" s="148">
        <v>11541.491343441965</v>
      </c>
      <c r="AO31" s="148">
        <v>8022.213813008102</v>
      </c>
      <c r="AP31" s="148">
        <v>5672.155139193551</v>
      </c>
      <c r="AQ31" s="148">
        <v>3322.0964653789997</v>
      </c>
    </row>
    <row r="32" spans="1:43" ht="11.25">
      <c r="A32" s="203" t="s">
        <v>44</v>
      </c>
      <c r="B32" s="148">
        <v>974</v>
      </c>
      <c r="C32" s="148">
        <v>1141</v>
      </c>
      <c r="D32" s="148">
        <v>6792</v>
      </c>
      <c r="E32" s="148">
        <v>3167</v>
      </c>
      <c r="F32" s="148">
        <v>1439</v>
      </c>
      <c r="G32" s="148">
        <v>1411</v>
      </c>
      <c r="H32" s="148">
        <v>632</v>
      </c>
      <c r="I32" s="148">
        <v>754</v>
      </c>
      <c r="J32" s="148">
        <v>2638</v>
      </c>
      <c r="K32" s="148">
        <v>1909</v>
      </c>
      <c r="L32" s="148">
        <v>879</v>
      </c>
      <c r="M32" s="148">
        <v>2106</v>
      </c>
      <c r="N32" s="148">
        <v>1671</v>
      </c>
      <c r="O32" s="148">
        <v>1868</v>
      </c>
      <c r="P32" s="148">
        <v>2055</v>
      </c>
      <c r="Q32" s="148">
        <v>2132</v>
      </c>
      <c r="R32" s="148">
        <v>2269</v>
      </c>
      <c r="S32" s="148">
        <v>2845</v>
      </c>
      <c r="T32" s="148">
        <v>2878</v>
      </c>
      <c r="U32" s="148">
        <v>2821</v>
      </c>
      <c r="V32" s="148">
        <v>3135</v>
      </c>
      <c r="W32" s="148">
        <v>3135</v>
      </c>
      <c r="X32" s="148">
        <v>3135</v>
      </c>
      <c r="Y32" s="148">
        <v>3135</v>
      </c>
      <c r="Z32" s="148">
        <v>3135</v>
      </c>
      <c r="AA32" s="148">
        <v>3135</v>
      </c>
      <c r="AB32" s="148">
        <v>3135</v>
      </c>
      <c r="AC32" s="148">
        <v>3135</v>
      </c>
      <c r="AD32" s="148">
        <v>3135</v>
      </c>
      <c r="AE32" s="148">
        <v>3135</v>
      </c>
      <c r="AF32" s="148">
        <v>3135</v>
      </c>
      <c r="AG32" s="148">
        <v>3135</v>
      </c>
      <c r="AH32" s="148">
        <v>3135</v>
      </c>
      <c r="AI32" s="148">
        <v>3135</v>
      </c>
      <c r="AJ32" s="148">
        <v>3135</v>
      </c>
      <c r="AK32" s="148">
        <v>3135</v>
      </c>
      <c r="AL32" s="148">
        <v>3135</v>
      </c>
      <c r="AM32" s="148">
        <v>3135</v>
      </c>
      <c r="AN32" s="148">
        <v>3135</v>
      </c>
      <c r="AO32" s="148">
        <v>3135</v>
      </c>
      <c r="AP32" s="148">
        <v>3135</v>
      </c>
      <c r="AQ32" s="148">
        <v>3135</v>
      </c>
    </row>
    <row r="33" spans="1:43" ht="11.25">
      <c r="A33" s="203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</row>
    <row r="34" spans="1:43" ht="11.25">
      <c r="A34" s="201" t="s">
        <v>52</v>
      </c>
      <c r="B34" s="151">
        <v>19850</v>
      </c>
      <c r="C34" s="151">
        <v>24141</v>
      </c>
      <c r="D34" s="151">
        <v>28099</v>
      </c>
      <c r="E34" s="151">
        <v>21553</v>
      </c>
      <c r="F34" s="151">
        <v>22378</v>
      </c>
      <c r="G34" s="151">
        <v>19123</v>
      </c>
      <c r="H34" s="151">
        <v>16010</v>
      </c>
      <c r="I34" s="151">
        <v>15318</v>
      </c>
      <c r="J34" s="151">
        <v>14924</v>
      </c>
      <c r="K34" s="151">
        <v>16644</v>
      </c>
      <c r="L34" s="151">
        <v>13844</v>
      </c>
      <c r="M34" s="151">
        <v>14538</v>
      </c>
      <c r="N34" s="151">
        <v>15864</v>
      </c>
      <c r="O34" s="151">
        <v>13505</v>
      </c>
      <c r="P34" s="151">
        <v>12580</v>
      </c>
      <c r="Q34" s="151">
        <v>11329</v>
      </c>
      <c r="R34" s="151">
        <v>10076</v>
      </c>
      <c r="S34" s="151">
        <v>9660</v>
      </c>
      <c r="T34" s="151">
        <v>8950</v>
      </c>
      <c r="U34" s="151">
        <v>32168</v>
      </c>
      <c r="V34" s="153">
        <v>28154</v>
      </c>
      <c r="W34" s="153">
        <v>43154</v>
      </c>
      <c r="X34" s="153">
        <v>47477.974846988465</v>
      </c>
      <c r="Y34" s="153">
        <v>50133.15125066925</v>
      </c>
      <c r="Z34" s="153">
        <v>57096.51644021445</v>
      </c>
      <c r="AA34" s="153">
        <v>62595.606972351314</v>
      </c>
      <c r="AB34" s="153">
        <v>64220.26376120616</v>
      </c>
      <c r="AC34" s="153">
        <v>62890.466093278104</v>
      </c>
      <c r="AD34" s="153">
        <v>63194.93798043743</v>
      </c>
      <c r="AE34" s="153">
        <v>57225.82479845377</v>
      </c>
      <c r="AF34" s="153">
        <v>35181.42126765099</v>
      </c>
      <c r="AG34" s="153">
        <v>53945.203576876316</v>
      </c>
      <c r="AH34" s="153">
        <v>51368.31273821569</v>
      </c>
      <c r="AI34" s="153">
        <v>41701.854505034156</v>
      </c>
      <c r="AJ34" s="153">
        <v>32947.76059905108</v>
      </c>
      <c r="AK34" s="153">
        <v>38263.15240270889</v>
      </c>
      <c r="AL34" s="153">
        <v>31913.50018105426</v>
      </c>
      <c r="AM34" s="153">
        <v>22785.098601782985</v>
      </c>
      <c r="AN34" s="153">
        <v>14676.491343441965</v>
      </c>
      <c r="AO34" s="153">
        <v>11157.213813008102</v>
      </c>
      <c r="AP34" s="153">
        <v>8807.15513919355</v>
      </c>
      <c r="AQ34" s="153">
        <v>6457.096465379</v>
      </c>
    </row>
    <row r="35" spans="1:43" ht="11.25">
      <c r="A35" s="203"/>
      <c r="B35" s="151"/>
      <c r="C35" s="151"/>
      <c r="D35" s="151"/>
      <c r="E35" s="151"/>
      <c r="F35" s="151"/>
      <c r="G35" s="151"/>
      <c r="H35" s="151"/>
      <c r="I35" s="151"/>
      <c r="J35" s="151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</row>
    <row r="36" spans="1:43" ht="11.25">
      <c r="A36" s="201" t="s">
        <v>51</v>
      </c>
      <c r="B36" s="151">
        <v>224925</v>
      </c>
      <c r="C36" s="151">
        <v>87203</v>
      </c>
      <c r="D36" s="151">
        <v>551529</v>
      </c>
      <c r="E36" s="151">
        <v>548209</v>
      </c>
      <c r="F36" s="151">
        <v>548243</v>
      </c>
      <c r="G36" s="151">
        <v>523968</v>
      </c>
      <c r="H36" s="151">
        <v>542897</v>
      </c>
      <c r="I36" s="151">
        <v>527096</v>
      </c>
      <c r="J36" s="151">
        <v>558923</v>
      </c>
      <c r="K36" s="151">
        <v>771644</v>
      </c>
      <c r="L36" s="151">
        <v>809571</v>
      </c>
      <c r="M36" s="151">
        <v>865551</v>
      </c>
      <c r="N36" s="151">
        <v>877928</v>
      </c>
      <c r="O36" s="151">
        <v>1009326</v>
      </c>
      <c r="P36" s="151">
        <v>1029095</v>
      </c>
      <c r="Q36" s="151">
        <v>1131531</v>
      </c>
      <c r="R36" s="151">
        <v>1489353</v>
      </c>
      <c r="S36" s="151">
        <v>1390415</v>
      </c>
      <c r="T36" s="151">
        <v>1398202</v>
      </c>
      <c r="U36" s="151">
        <v>1438962</v>
      </c>
      <c r="V36" s="153">
        <v>1574410</v>
      </c>
      <c r="W36" s="153">
        <v>1617362</v>
      </c>
      <c r="X36" s="153">
        <v>1643327</v>
      </c>
      <c r="Y36" s="153">
        <v>1671292</v>
      </c>
      <c r="Z36" s="153">
        <v>1699101</v>
      </c>
      <c r="AA36" s="153">
        <v>1726361</v>
      </c>
      <c r="AB36" s="153">
        <v>1754626</v>
      </c>
      <c r="AC36" s="153">
        <v>1784178</v>
      </c>
      <c r="AD36" s="153">
        <v>1813937</v>
      </c>
      <c r="AE36" s="153">
        <v>1846824</v>
      </c>
      <c r="AF36" s="153">
        <v>1877416</v>
      </c>
      <c r="AG36" s="153">
        <v>1906098</v>
      </c>
      <c r="AH36" s="153">
        <v>1934273</v>
      </c>
      <c r="AI36" s="153">
        <v>1966278</v>
      </c>
      <c r="AJ36" s="153">
        <v>1994962</v>
      </c>
      <c r="AK36" s="153">
        <v>2023027</v>
      </c>
      <c r="AL36" s="153">
        <v>2049720</v>
      </c>
      <c r="AM36" s="153">
        <v>2078767</v>
      </c>
      <c r="AN36" s="153">
        <v>2109982</v>
      </c>
      <c r="AO36" s="153">
        <v>2143522</v>
      </c>
      <c r="AP36" s="153">
        <v>2179503</v>
      </c>
      <c r="AQ36" s="153">
        <v>2287000</v>
      </c>
    </row>
    <row r="37" spans="1:43" ht="11.25">
      <c r="A37" s="203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</row>
    <row r="38" spans="1:43" ht="11.25">
      <c r="A38" s="203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</row>
    <row r="39" spans="1:43" ht="11.25">
      <c r="A39" s="203"/>
      <c r="B39" s="153">
        <v>224925</v>
      </c>
      <c r="C39" s="153">
        <v>87203</v>
      </c>
      <c r="D39" s="153">
        <v>551529</v>
      </c>
      <c r="E39" s="153">
        <v>548209</v>
      </c>
      <c r="F39" s="153">
        <v>548243</v>
      </c>
      <c r="G39" s="153">
        <v>523968</v>
      </c>
      <c r="H39" s="153">
        <v>542897</v>
      </c>
      <c r="I39" s="153">
        <v>527096</v>
      </c>
      <c r="J39" s="153">
        <v>558923</v>
      </c>
      <c r="K39" s="153">
        <v>771644</v>
      </c>
      <c r="L39" s="153">
        <v>809571</v>
      </c>
      <c r="M39" s="153">
        <v>865551</v>
      </c>
      <c r="N39" s="153">
        <v>877928</v>
      </c>
      <c r="O39" s="153">
        <v>1009326</v>
      </c>
      <c r="P39" s="153">
        <v>1029095</v>
      </c>
      <c r="Q39" s="153">
        <v>1131531</v>
      </c>
      <c r="R39" s="153">
        <v>1489353</v>
      </c>
      <c r="S39" s="153">
        <v>1390415</v>
      </c>
      <c r="T39" s="153">
        <v>1398202</v>
      </c>
      <c r="U39" s="153">
        <v>1438962</v>
      </c>
      <c r="V39" s="153">
        <v>1574410</v>
      </c>
      <c r="W39" s="153">
        <v>1617362</v>
      </c>
      <c r="X39" s="153">
        <v>1643327</v>
      </c>
      <c r="Y39" s="153">
        <v>1671292</v>
      </c>
      <c r="Z39" s="153">
        <v>1699101</v>
      </c>
      <c r="AA39" s="153">
        <v>1726361</v>
      </c>
      <c r="AB39" s="153">
        <v>1754626</v>
      </c>
      <c r="AC39" s="153">
        <v>1784178</v>
      </c>
      <c r="AD39" s="153">
        <v>1813937</v>
      </c>
      <c r="AE39" s="153">
        <v>1846824</v>
      </c>
      <c r="AF39" s="153">
        <v>1877416</v>
      </c>
      <c r="AG39" s="153">
        <v>1906098</v>
      </c>
      <c r="AH39" s="153">
        <v>1934273</v>
      </c>
      <c r="AI39" s="153">
        <v>1966278</v>
      </c>
      <c r="AJ39" s="153">
        <v>1994962</v>
      </c>
      <c r="AK39" s="153">
        <v>2023027</v>
      </c>
      <c r="AL39" s="153">
        <v>2049720</v>
      </c>
      <c r="AM39" s="153">
        <v>2078767</v>
      </c>
      <c r="AN39" s="153">
        <v>2109982</v>
      </c>
      <c r="AO39" s="153">
        <v>2143522</v>
      </c>
      <c r="AP39" s="153">
        <v>2179503</v>
      </c>
      <c r="AQ39" s="153">
        <v>2287000</v>
      </c>
    </row>
    <row r="40" spans="7:43" ht="11.25">
      <c r="G40" s="150"/>
      <c r="H40" s="150"/>
      <c r="I40" s="150" t="s">
        <v>245</v>
      </c>
      <c r="J40" s="150" t="s">
        <v>245</v>
      </c>
      <c r="K40" s="150" t="s">
        <v>245</v>
      </c>
      <c r="L40" s="150"/>
      <c r="M40" s="150"/>
      <c r="N40" s="150"/>
      <c r="O40" s="150" t="s">
        <v>245</v>
      </c>
      <c r="P40" s="150" t="s">
        <v>245</v>
      </c>
      <c r="Q40" s="150" t="s">
        <v>245</v>
      </c>
      <c r="R40" s="150"/>
      <c r="S40" s="150"/>
      <c r="T40" s="150" t="s">
        <v>245</v>
      </c>
      <c r="U40" s="150" t="s">
        <v>245</v>
      </c>
      <c r="V40" s="150" t="s">
        <v>245</v>
      </c>
      <c r="W40" s="150" t="s">
        <v>245</v>
      </c>
      <c r="X40" s="150" t="s">
        <v>245</v>
      </c>
      <c r="Y40" s="150" t="s">
        <v>245</v>
      </c>
      <c r="Z40" s="150" t="s">
        <v>245</v>
      </c>
      <c r="AA40" s="150" t="s">
        <v>245</v>
      </c>
      <c r="AB40" s="150" t="s">
        <v>245</v>
      </c>
      <c r="AC40" s="150" t="s">
        <v>245</v>
      </c>
      <c r="AD40" s="150" t="s">
        <v>245</v>
      </c>
      <c r="AE40" s="150" t="s">
        <v>245</v>
      </c>
      <c r="AF40" s="150" t="s">
        <v>245</v>
      </c>
      <c r="AG40" s="150" t="s">
        <v>245</v>
      </c>
      <c r="AH40" s="150" t="s">
        <v>245</v>
      </c>
      <c r="AI40" s="150" t="s">
        <v>245</v>
      </c>
      <c r="AJ40" s="150" t="s">
        <v>245</v>
      </c>
      <c r="AK40" s="150" t="s">
        <v>245</v>
      </c>
      <c r="AL40" s="150" t="s">
        <v>245</v>
      </c>
      <c r="AM40" s="150" t="s">
        <v>245</v>
      </c>
      <c r="AN40" s="150" t="s">
        <v>245</v>
      </c>
      <c r="AO40" s="150" t="s">
        <v>245</v>
      </c>
      <c r="AP40" s="150" t="s">
        <v>245</v>
      </c>
      <c r="AQ40" s="150" t="s">
        <v>245</v>
      </c>
    </row>
    <row r="42" spans="12:43" ht="11.25"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0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55">
        <v>0</v>
      </c>
      <c r="AP42" s="155">
        <v>0</v>
      </c>
      <c r="AQ42" s="155">
        <v>0</v>
      </c>
    </row>
    <row r="43" spans="1:43" ht="11.25">
      <c r="A43" s="144" t="s">
        <v>474</v>
      </c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>
        <v>0</v>
      </c>
      <c r="AK43" s="213">
        <v>0</v>
      </c>
      <c r="AL43" s="213">
        <v>0</v>
      </c>
      <c r="AM43" s="213">
        <v>0</v>
      </c>
      <c r="AN43" s="213">
        <v>0</v>
      </c>
      <c r="AO43" s="213">
        <v>0</v>
      </c>
      <c r="AP43" s="213">
        <v>0</v>
      </c>
      <c r="AQ43" s="213">
        <v>1</v>
      </c>
    </row>
    <row r="44" spans="12:43" ht="11.25"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</row>
    <row r="45" spans="12:43" ht="11.25"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</row>
    <row r="46" spans="12:43" ht="11.25"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</row>
    <row r="47" spans="12:43" ht="11.25"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</row>
    <row r="49" spans="1:43" ht="11.25">
      <c r="A49" s="144" t="s">
        <v>157</v>
      </c>
      <c r="B49" s="150">
        <v>21586</v>
      </c>
      <c r="C49" s="150">
        <v>25061</v>
      </c>
      <c r="D49" s="150">
        <v>25421</v>
      </c>
      <c r="E49" s="150">
        <v>24792</v>
      </c>
      <c r="F49" s="150">
        <v>23870</v>
      </c>
      <c r="G49" s="150">
        <v>20688</v>
      </c>
      <c r="H49" s="150">
        <v>18462</v>
      </c>
      <c r="I49" s="150">
        <v>18035</v>
      </c>
      <c r="J49" s="150">
        <v>17028</v>
      </c>
      <c r="K49" s="150">
        <v>18022</v>
      </c>
      <c r="L49" s="150">
        <v>17903</v>
      </c>
      <c r="M49" s="150">
        <v>16998</v>
      </c>
      <c r="N49" s="150">
        <v>16998</v>
      </c>
      <c r="O49" s="150">
        <v>14194</v>
      </c>
      <c r="P49" s="150">
        <v>13195</v>
      </c>
      <c r="Q49" s="150">
        <v>12195</v>
      </c>
      <c r="R49" s="150">
        <v>11194</v>
      </c>
      <c r="S49" s="150">
        <v>10194</v>
      </c>
      <c r="T49" s="150">
        <v>9238</v>
      </c>
      <c r="U49" s="150">
        <v>34147</v>
      </c>
      <c r="V49" s="150">
        <v>33147</v>
      </c>
      <c r="W49" s="150">
        <v>48147</v>
      </c>
      <c r="X49" s="150">
        <v>48147</v>
      </c>
      <c r="Y49" s="150">
        <v>51146.974846988465</v>
      </c>
      <c r="Z49" s="150">
        <v>59147.15125066925</v>
      </c>
      <c r="AA49" s="150">
        <v>66147.51644021444</v>
      </c>
      <c r="AB49" s="150">
        <v>69147.60697235132</v>
      </c>
      <c r="AC49" s="150">
        <v>69147.26376120615</v>
      </c>
      <c r="AD49" s="150">
        <v>69147.46609327811</v>
      </c>
      <c r="AE49" s="150">
        <v>62147.93798043743</v>
      </c>
      <c r="AF49" s="150">
        <v>64147.82479845377</v>
      </c>
      <c r="AG49" s="150">
        <v>62147.42126765099</v>
      </c>
      <c r="AH49" s="150">
        <v>59147.203576876316</v>
      </c>
      <c r="AI49" s="150">
        <v>48233.31273821569</v>
      </c>
      <c r="AJ49" s="150">
        <v>38566.854505034156</v>
      </c>
      <c r="AK49" s="150">
        <v>44566.76059905108</v>
      </c>
      <c r="AL49" s="150">
        <v>37567.15240270889</v>
      </c>
      <c r="AM49" s="150">
        <v>28778.50018105426</v>
      </c>
      <c r="AN49" s="150">
        <v>19650.098601782985</v>
      </c>
      <c r="AO49" s="150">
        <v>11541.491343441965</v>
      </c>
      <c r="AP49" s="150">
        <v>8022.213813008102</v>
      </c>
      <c r="AQ49" s="150">
        <v>5672.155139193551</v>
      </c>
    </row>
    <row r="50" spans="1:43" ht="11.25">
      <c r="A50" s="144" t="s">
        <v>158</v>
      </c>
      <c r="B50" s="150">
        <v>5287</v>
      </c>
      <c r="C50" s="150">
        <v>3957</v>
      </c>
      <c r="D50" s="150">
        <v>6199</v>
      </c>
      <c r="E50" s="150">
        <v>4340</v>
      </c>
      <c r="F50" s="150">
        <v>0</v>
      </c>
      <c r="G50" s="150">
        <v>0</v>
      </c>
      <c r="H50" s="150">
        <v>0</v>
      </c>
      <c r="I50" s="150">
        <v>0</v>
      </c>
      <c r="J50" s="150">
        <v>2905</v>
      </c>
      <c r="K50" s="150">
        <v>1098</v>
      </c>
      <c r="L50" s="150"/>
      <c r="M50" s="150"/>
      <c r="N50" s="150"/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50">
        <v>0</v>
      </c>
      <c r="AI50" s="150">
        <v>0</v>
      </c>
      <c r="AJ50" s="150">
        <v>0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</row>
    <row r="52" spans="1:43" ht="11.25">
      <c r="A52" s="154" t="s">
        <v>98</v>
      </c>
      <c r="B52" s="155">
        <v>26873</v>
      </c>
      <c r="C52" s="155">
        <v>29018</v>
      </c>
      <c r="D52" s="155">
        <v>31620</v>
      </c>
      <c r="E52" s="155">
        <v>29132</v>
      </c>
      <c r="F52" s="155">
        <v>23870</v>
      </c>
      <c r="G52" s="155">
        <v>20688</v>
      </c>
      <c r="H52" s="155">
        <v>18462</v>
      </c>
      <c r="I52" s="155">
        <v>18035</v>
      </c>
      <c r="J52" s="155">
        <v>19933</v>
      </c>
      <c r="K52" s="155">
        <v>19120</v>
      </c>
      <c r="L52" s="155">
        <v>17903</v>
      </c>
      <c r="M52" s="155">
        <v>16998</v>
      </c>
      <c r="N52" s="155">
        <v>16998</v>
      </c>
      <c r="O52" s="155">
        <v>14194</v>
      </c>
      <c r="P52" s="155">
        <v>13195</v>
      </c>
      <c r="Q52" s="155">
        <v>12195</v>
      </c>
      <c r="R52" s="155">
        <v>11194</v>
      </c>
      <c r="S52" s="155">
        <v>10194</v>
      </c>
      <c r="T52" s="155">
        <v>9238</v>
      </c>
      <c r="U52" s="155">
        <v>34147</v>
      </c>
      <c r="V52" s="155">
        <v>33147</v>
      </c>
      <c r="W52" s="155">
        <v>48147</v>
      </c>
      <c r="X52" s="155">
        <v>48147</v>
      </c>
      <c r="Y52" s="155">
        <v>51146.974846988465</v>
      </c>
      <c r="Z52" s="155">
        <v>59147.15125066925</v>
      </c>
      <c r="AA52" s="155">
        <v>66147.51644021444</v>
      </c>
      <c r="AB52" s="155">
        <v>69147.60697235132</v>
      </c>
      <c r="AC52" s="155">
        <v>69147.26376120615</v>
      </c>
      <c r="AD52" s="155">
        <v>69147.46609327811</v>
      </c>
      <c r="AE52" s="155">
        <v>62147.93798043743</v>
      </c>
      <c r="AF52" s="155">
        <v>64147.82479845377</v>
      </c>
      <c r="AG52" s="155">
        <v>62147.42126765099</v>
      </c>
      <c r="AH52" s="155">
        <v>59147.203576876316</v>
      </c>
      <c r="AI52" s="155">
        <v>48233.31273821569</v>
      </c>
      <c r="AJ52" s="155">
        <v>38566.854505034156</v>
      </c>
      <c r="AK52" s="155">
        <v>44566.76059905108</v>
      </c>
      <c r="AL52" s="155">
        <v>37567.15240270889</v>
      </c>
      <c r="AM52" s="155">
        <v>28778.50018105426</v>
      </c>
      <c r="AN52" s="155">
        <v>19650.098601782985</v>
      </c>
      <c r="AO52" s="155">
        <v>11541.491343441965</v>
      </c>
      <c r="AP52" s="155">
        <v>8022.213813008102</v>
      </c>
      <c r="AQ52" s="155">
        <v>5672.155139193551</v>
      </c>
    </row>
    <row r="53" spans="29:34" ht="11.25">
      <c r="AC53" s="150"/>
      <c r="AD53" s="150"/>
      <c r="AE53" s="150"/>
      <c r="AF53" s="150"/>
      <c r="AG53" s="150"/>
      <c r="AH53" s="150"/>
    </row>
    <row r="54" spans="12:31" ht="11.25">
      <c r="L54" s="150"/>
      <c r="M54" s="150"/>
      <c r="N54" s="150"/>
      <c r="Q54" s="150"/>
      <c r="R54" s="150"/>
      <c r="S54" s="150"/>
      <c r="AE54" s="150"/>
    </row>
    <row r="55" spans="12:43" ht="11.25">
      <c r="L55" s="150"/>
      <c r="O55" s="156"/>
      <c r="P55" s="156"/>
      <c r="Q55" s="140">
        <v>1131531</v>
      </c>
      <c r="R55" s="140">
        <v>1489353</v>
      </c>
      <c r="S55" s="140">
        <v>1390415</v>
      </c>
      <c r="T55" s="140">
        <v>1398202</v>
      </c>
      <c r="U55" s="140">
        <v>1438962</v>
      </c>
      <c r="V55" s="140">
        <v>1574410</v>
      </c>
      <c r="W55" s="140">
        <v>1617362</v>
      </c>
      <c r="X55" s="140">
        <v>1643327</v>
      </c>
      <c r="Y55" s="140">
        <v>1671292.16027125</v>
      </c>
      <c r="Z55" s="140">
        <v>1699101.282447962</v>
      </c>
      <c r="AA55" s="140">
        <v>1726361.207972487</v>
      </c>
      <c r="AB55" s="140">
        <v>1754625.781008905</v>
      </c>
      <c r="AC55" s="140">
        <v>1784177.9193469246</v>
      </c>
      <c r="AD55" s="140">
        <v>1813936.5966273032</v>
      </c>
      <c r="AE55" s="140">
        <v>1846824.3302333308</v>
      </c>
      <c r="AF55" s="140">
        <v>1877416.3937609028</v>
      </c>
      <c r="AG55" s="140">
        <v>1906097.9491820734</v>
      </c>
      <c r="AH55" s="140">
        <v>1934273.4153726501</v>
      </c>
      <c r="AI55" s="140">
        <v>1966278.1694926403</v>
      </c>
      <c r="AJ55" s="140">
        <v>1994962.2659859655</v>
      </c>
      <c r="AK55" s="140">
        <v>2023026.988786235</v>
      </c>
      <c r="AL55" s="140">
        <v>2049719.5527851917</v>
      </c>
      <c r="AM55" s="140">
        <v>2078767.235380055</v>
      </c>
      <c r="AN55" s="140">
        <v>2109981.6355257407</v>
      </c>
      <c r="AO55" s="140">
        <v>2143521.9561142405</v>
      </c>
      <c r="AP55" s="140">
        <v>2179502.5949411234</v>
      </c>
      <c r="AQ55" s="140">
        <v>2286999.7800615304</v>
      </c>
    </row>
    <row r="57" spans="15:43" ht="11.25">
      <c r="O57" s="150"/>
      <c r="P57" s="150"/>
      <c r="Q57" s="150">
        <v>0</v>
      </c>
      <c r="R57" s="150">
        <v>0</v>
      </c>
      <c r="S57" s="150">
        <v>0</v>
      </c>
      <c r="T57" s="150">
        <v>0</v>
      </c>
      <c r="U57" s="150">
        <v>0</v>
      </c>
      <c r="V57" s="150">
        <v>0</v>
      </c>
      <c r="W57" s="150">
        <v>0</v>
      </c>
      <c r="X57" s="150">
        <v>0</v>
      </c>
      <c r="Y57" s="150">
        <v>-0.16027124994434416</v>
      </c>
      <c r="Z57" s="150">
        <v>-0.28244796209037304</v>
      </c>
      <c r="AA57" s="150">
        <v>-0.20797248696908355</v>
      </c>
      <c r="AB57" s="150">
        <v>0.21899109496735036</v>
      </c>
      <c r="AC57" s="150">
        <v>0.08065307536162436</v>
      </c>
      <c r="AD57" s="150">
        <v>0.40337269683368504</v>
      </c>
      <c r="AE57" s="150">
        <v>-0.33023333083838224</v>
      </c>
      <c r="AF57" s="150">
        <v>-0.3937609028071165</v>
      </c>
      <c r="AG57" s="150">
        <v>0.050817926647141576</v>
      </c>
      <c r="AH57" s="150">
        <v>-0.4153726501390338</v>
      </c>
      <c r="AI57" s="150">
        <v>-0.16949264029972255</v>
      </c>
      <c r="AJ57" s="150">
        <v>-0.2659859654959291</v>
      </c>
      <c r="AK57" s="150">
        <v>0.011213765013962984</v>
      </c>
      <c r="AL57" s="150">
        <v>0.4472148083150387</v>
      </c>
      <c r="AM57" s="150">
        <v>-0.2353800549171865</v>
      </c>
      <c r="AN57" s="150">
        <v>0.36447425931692123</v>
      </c>
      <c r="AO57" s="150">
        <v>0.0438857595436275</v>
      </c>
      <c r="AP57" s="150">
        <v>0.40505887661129236</v>
      </c>
      <c r="AQ57" s="150">
        <v>0.21993846958503127</v>
      </c>
    </row>
    <row r="60" spans="20:21" ht="11.25">
      <c r="T60" s="150"/>
      <c r="U60" s="150"/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1"/>
  <headerFooter alignWithMargins="0">
    <oddFooter>&amp;L&amp;8&amp;Z&amp;F&amp;C&amp;8&amp;D - &amp;T&amp;R&amp;8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1:AQ60"/>
  <sheetViews>
    <sheetView zoomScalePageLayoutView="0" workbookViewId="0" topLeftCell="A1">
      <pane xSplit="1" ySplit="5" topLeftCell="B36" activePane="bottomRight" state="frozen"/>
      <selection pane="topLeft" activeCell="AD65" sqref="AD65"/>
      <selection pane="topRight" activeCell="AD65" sqref="AD65"/>
      <selection pane="bottomLeft" activeCell="AD65" sqref="AD65"/>
      <selection pane="bottomRight" activeCell="C58" sqref="C58"/>
    </sheetView>
  </sheetViews>
  <sheetFormatPr defaultColWidth="12.83203125" defaultRowHeight="12.75"/>
  <cols>
    <col min="1" max="1" width="43.83203125" style="144" bestFit="1" customWidth="1"/>
    <col min="2" max="16" width="12.83203125" style="92" customWidth="1"/>
    <col min="17" max="19" width="13.33203125" style="92" customWidth="1"/>
    <col min="20" max="34" width="12.83203125" style="92" customWidth="1"/>
    <col min="35" max="35" width="13.33203125" style="92" customWidth="1"/>
    <col min="36" max="41" width="12.83203125" style="92" customWidth="1"/>
    <col min="42" max="16384" width="12.83203125" style="144" customWidth="1"/>
  </cols>
  <sheetData>
    <row r="1" ht="20.25">
      <c r="A1" s="142" t="s">
        <v>164</v>
      </c>
    </row>
    <row r="2" ht="11.25">
      <c r="A2" s="143" t="s">
        <v>121</v>
      </c>
    </row>
    <row r="3" spans="1:43" ht="11.25">
      <c r="A3" s="100" t="s">
        <v>156</v>
      </c>
      <c r="B3" s="101" t="s">
        <v>128</v>
      </c>
      <c r="C3" s="101" t="s">
        <v>129</v>
      </c>
      <c r="D3" s="101" t="s">
        <v>130</v>
      </c>
      <c r="E3" s="101" t="s">
        <v>131</v>
      </c>
      <c r="F3" s="100" t="s">
        <v>132</v>
      </c>
      <c r="G3" s="101" t="s">
        <v>126</v>
      </c>
      <c r="H3" s="100" t="s">
        <v>106</v>
      </c>
      <c r="I3" s="102" t="s">
        <v>105</v>
      </c>
      <c r="J3" s="102" t="s">
        <v>107</v>
      </c>
      <c r="K3" s="102" t="s">
        <v>108</v>
      </c>
      <c r="L3" s="102" t="s">
        <v>109</v>
      </c>
      <c r="M3" s="102" t="s">
        <v>110</v>
      </c>
      <c r="N3" s="102" t="s">
        <v>111</v>
      </c>
      <c r="O3" s="103" t="s">
        <v>112</v>
      </c>
      <c r="P3" s="104" t="s">
        <v>113</v>
      </c>
      <c r="Q3" s="104" t="s">
        <v>114</v>
      </c>
      <c r="R3" s="104" t="s">
        <v>117</v>
      </c>
      <c r="S3" s="104" t="s">
        <v>118</v>
      </c>
      <c r="T3" s="102" t="s">
        <v>127</v>
      </c>
      <c r="U3" s="102" t="s">
        <v>145</v>
      </c>
      <c r="V3" s="145" t="s">
        <v>146</v>
      </c>
      <c r="W3" s="103" t="s">
        <v>265</v>
      </c>
      <c r="X3" s="103" t="s">
        <v>267</v>
      </c>
      <c r="Y3" s="101" t="s">
        <v>268</v>
      </c>
      <c r="Z3" s="101" t="s">
        <v>269</v>
      </c>
      <c r="AA3" s="101" t="s">
        <v>270</v>
      </c>
      <c r="AB3" s="101" t="s">
        <v>271</v>
      </c>
      <c r="AC3" s="101" t="s">
        <v>272</v>
      </c>
      <c r="AD3" s="101" t="s">
        <v>273</v>
      </c>
      <c r="AE3" s="101" t="s">
        <v>274</v>
      </c>
      <c r="AF3" s="101" t="s">
        <v>275</v>
      </c>
      <c r="AG3" s="101" t="s">
        <v>276</v>
      </c>
      <c r="AH3" s="101" t="s">
        <v>277</v>
      </c>
      <c r="AI3" s="101" t="s">
        <v>278</v>
      </c>
      <c r="AJ3" s="101" t="s">
        <v>279</v>
      </c>
      <c r="AK3" s="101" t="s">
        <v>280</v>
      </c>
      <c r="AL3" s="101" t="s">
        <v>281</v>
      </c>
      <c r="AM3" s="101" t="s">
        <v>282</v>
      </c>
      <c r="AN3" s="101" t="s">
        <v>283</v>
      </c>
      <c r="AO3" s="101" t="s">
        <v>284</v>
      </c>
      <c r="AP3" s="101" t="s">
        <v>285</v>
      </c>
      <c r="AQ3" s="101" t="s">
        <v>303</v>
      </c>
    </row>
    <row r="4" spans="1:43" ht="11.25">
      <c r="A4" s="146"/>
      <c r="B4" s="100" t="s">
        <v>188</v>
      </c>
      <c r="C4" s="100" t="s">
        <v>181</v>
      </c>
      <c r="D4" s="100" t="s">
        <v>180</v>
      </c>
      <c r="E4" s="100" t="s">
        <v>179</v>
      </c>
      <c r="F4" s="100" t="s">
        <v>166</v>
      </c>
      <c r="G4" s="100" t="s">
        <v>159</v>
      </c>
      <c r="H4" s="100" t="s">
        <v>115</v>
      </c>
      <c r="I4" s="100" t="s">
        <v>116</v>
      </c>
      <c r="J4" s="100" t="s">
        <v>91</v>
      </c>
      <c r="K4" s="100" t="s">
        <v>90</v>
      </c>
      <c r="L4" s="100" t="s">
        <v>88</v>
      </c>
      <c r="M4" s="100" t="s">
        <v>85</v>
      </c>
      <c r="N4" s="102" t="s">
        <v>84</v>
      </c>
      <c r="O4" s="102" t="s">
        <v>160</v>
      </c>
      <c r="P4" s="104"/>
      <c r="Q4" s="104"/>
      <c r="R4" s="104"/>
      <c r="S4" s="104"/>
      <c r="T4" s="104"/>
      <c r="U4" s="104"/>
      <c r="V4" s="108"/>
      <c r="W4" s="108" t="s">
        <v>167</v>
      </c>
      <c r="X4" s="108" t="s">
        <v>171</v>
      </c>
      <c r="Y4" s="108" t="s">
        <v>172</v>
      </c>
      <c r="Z4" s="108" t="s">
        <v>173</v>
      </c>
      <c r="AA4" s="108" t="s">
        <v>174</v>
      </c>
      <c r="AB4" s="108" t="s">
        <v>175</v>
      </c>
      <c r="AC4" s="108" t="s">
        <v>176</v>
      </c>
      <c r="AD4" s="108" t="s">
        <v>0</v>
      </c>
      <c r="AE4" s="108" t="s">
        <v>1</v>
      </c>
      <c r="AF4" s="108" t="s">
        <v>2</v>
      </c>
      <c r="AG4" s="108" t="s">
        <v>3</v>
      </c>
      <c r="AH4" s="108" t="s">
        <v>4</v>
      </c>
      <c r="AI4" s="108" t="s">
        <v>5</v>
      </c>
      <c r="AJ4" s="108" t="s">
        <v>6</v>
      </c>
      <c r="AK4" s="108" t="s">
        <v>7</v>
      </c>
      <c r="AL4" s="108" t="s">
        <v>8</v>
      </c>
      <c r="AM4" s="108" t="s">
        <v>226</v>
      </c>
      <c r="AN4" s="108" t="s">
        <v>227</v>
      </c>
      <c r="AO4" s="108" t="s">
        <v>228</v>
      </c>
      <c r="AP4" s="108" t="s">
        <v>229</v>
      </c>
      <c r="AQ4" s="108" t="s">
        <v>230</v>
      </c>
    </row>
    <row r="5" spans="1:43" ht="11.25">
      <c r="A5" s="146"/>
      <c r="B5" s="100" t="s">
        <v>20</v>
      </c>
      <c r="C5" s="100" t="s">
        <v>20</v>
      </c>
      <c r="D5" s="100" t="s">
        <v>20</v>
      </c>
      <c r="E5" s="100" t="s">
        <v>20</v>
      </c>
      <c r="F5" s="100" t="s">
        <v>20</v>
      </c>
      <c r="G5" s="100" t="s">
        <v>20</v>
      </c>
      <c r="H5" s="100" t="s">
        <v>20</v>
      </c>
      <c r="I5" s="109" t="s">
        <v>20</v>
      </c>
      <c r="J5" s="109" t="s">
        <v>20</v>
      </c>
      <c r="K5" s="109" t="s">
        <v>20</v>
      </c>
      <c r="L5" s="109" t="s">
        <v>20</v>
      </c>
      <c r="M5" s="109" t="s">
        <v>20</v>
      </c>
      <c r="N5" s="109" t="s">
        <v>20</v>
      </c>
      <c r="O5" s="109" t="s">
        <v>20</v>
      </c>
      <c r="P5" s="110" t="s">
        <v>20</v>
      </c>
      <c r="Q5" s="110" t="s">
        <v>20</v>
      </c>
      <c r="R5" s="110" t="s">
        <v>20</v>
      </c>
      <c r="S5" s="110" t="s">
        <v>20</v>
      </c>
      <c r="T5" s="110" t="s">
        <v>20</v>
      </c>
      <c r="U5" s="110" t="s">
        <v>20</v>
      </c>
      <c r="V5" s="109" t="s">
        <v>20</v>
      </c>
      <c r="W5" s="109" t="s">
        <v>20</v>
      </c>
      <c r="X5" s="109" t="s">
        <v>20</v>
      </c>
      <c r="Y5" s="109" t="s">
        <v>20</v>
      </c>
      <c r="Z5" s="109" t="s">
        <v>20</v>
      </c>
      <c r="AA5" s="100" t="s">
        <v>20</v>
      </c>
      <c r="AB5" s="100" t="s">
        <v>20</v>
      </c>
      <c r="AC5" s="100" t="s">
        <v>20</v>
      </c>
      <c r="AD5" s="100" t="s">
        <v>20</v>
      </c>
      <c r="AE5" s="100" t="s">
        <v>20</v>
      </c>
      <c r="AF5" s="100" t="s">
        <v>20</v>
      </c>
      <c r="AG5" s="100" t="s">
        <v>20</v>
      </c>
      <c r="AH5" s="100" t="s">
        <v>20</v>
      </c>
      <c r="AI5" s="100" t="s">
        <v>20</v>
      </c>
      <c r="AJ5" s="100" t="s">
        <v>20</v>
      </c>
      <c r="AK5" s="100" t="s">
        <v>20</v>
      </c>
      <c r="AL5" s="100" t="s">
        <v>20</v>
      </c>
      <c r="AM5" s="100" t="s">
        <v>20</v>
      </c>
      <c r="AN5" s="100" t="s">
        <v>20</v>
      </c>
      <c r="AO5" s="100" t="s">
        <v>20</v>
      </c>
      <c r="AP5" s="100" t="s">
        <v>20</v>
      </c>
      <c r="AQ5" s="100" t="s">
        <v>20</v>
      </c>
    </row>
    <row r="6" spans="1:42" ht="11.25">
      <c r="A6" s="201" t="s">
        <v>69</v>
      </c>
      <c r="B6" s="157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</row>
    <row r="7" spans="1:42" ht="11.25">
      <c r="A7" s="203" t="s">
        <v>56</v>
      </c>
      <c r="B7" s="157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</row>
    <row r="8" spans="1:42" ht="11.25">
      <c r="A8" s="203" t="s">
        <v>293</v>
      </c>
      <c r="B8" s="158">
        <v>-18642</v>
      </c>
      <c r="C8" s="116">
        <v>-21507</v>
      </c>
      <c r="D8" s="116">
        <v>-20343</v>
      </c>
      <c r="E8" s="116">
        <v>-19224</v>
      </c>
      <c r="F8" s="116">
        <v>-19406</v>
      </c>
      <c r="G8" s="116">
        <v>-21545</v>
      </c>
      <c r="H8" s="116">
        <v>-23668</v>
      </c>
      <c r="I8" s="116">
        <v>-26215</v>
      </c>
      <c r="J8" s="116">
        <v>-27654</v>
      </c>
      <c r="K8" s="116">
        <v>-29988</v>
      </c>
      <c r="L8" s="116">
        <v>-29939</v>
      </c>
      <c r="M8" s="116">
        <v>-31716</v>
      </c>
      <c r="N8" s="116">
        <v>-32600</v>
      </c>
      <c r="O8" s="116">
        <v>-35769</v>
      </c>
      <c r="P8" s="116">
        <v>-36049</v>
      </c>
      <c r="Q8" s="112">
        <v>-39621</v>
      </c>
      <c r="R8" s="112">
        <v>-43481</v>
      </c>
      <c r="S8" s="112">
        <v>-48461</v>
      </c>
      <c r="T8" s="116">
        <v>-53171</v>
      </c>
      <c r="U8" s="116">
        <v>-50819</v>
      </c>
      <c r="V8" s="116">
        <v>-55174</v>
      </c>
      <c r="W8" s="116">
        <v>-58537</v>
      </c>
      <c r="X8" s="116">
        <v>-60223</v>
      </c>
      <c r="Y8" s="116">
        <v>-62029.69</v>
      </c>
      <c r="Z8" s="116">
        <v>-63890.580700000006</v>
      </c>
      <c r="AA8" s="116">
        <v>-65807.29812100001</v>
      </c>
      <c r="AB8" s="116">
        <v>-67781.51706463001</v>
      </c>
      <c r="AC8" s="116">
        <v>-69814.96257656891</v>
      </c>
      <c r="AD8" s="116">
        <v>-71909.41145386598</v>
      </c>
      <c r="AE8" s="116">
        <v>-74066.69379748196</v>
      </c>
      <c r="AF8" s="116">
        <v>-76288.69461140642</v>
      </c>
      <c r="AG8" s="116">
        <v>-78577.35544974862</v>
      </c>
      <c r="AH8" s="116">
        <v>-80934.67611324108</v>
      </c>
      <c r="AI8" s="116">
        <v>-83362.71639663831</v>
      </c>
      <c r="AJ8" s="116">
        <v>-85863.59788853746</v>
      </c>
      <c r="AK8" s="116">
        <v>-88439.50582519358</v>
      </c>
      <c r="AL8" s="116">
        <v>-91092.6909999494</v>
      </c>
      <c r="AM8" s="116">
        <v>-93825.47172994788</v>
      </c>
      <c r="AN8" s="116">
        <v>-96640.23588184633</v>
      </c>
      <c r="AO8" s="116">
        <v>-99539.44295830172</v>
      </c>
      <c r="AP8" s="116">
        <v>-102525.62624705078</v>
      </c>
    </row>
    <row r="9" spans="1:42" ht="11.25">
      <c r="A9" s="203" t="s">
        <v>294</v>
      </c>
      <c r="B9" s="159">
        <v>-14724</v>
      </c>
      <c r="C9" s="112">
        <v>-15758</v>
      </c>
      <c r="D9" s="112">
        <v>-15818</v>
      </c>
      <c r="E9" s="112">
        <v>-18022</v>
      </c>
      <c r="F9" s="112">
        <v>-20037</v>
      </c>
      <c r="G9" s="112">
        <v>-20265</v>
      </c>
      <c r="H9" s="112">
        <v>-24291</v>
      </c>
      <c r="I9" s="112">
        <v>-27642</v>
      </c>
      <c r="J9" s="112">
        <v>-27656</v>
      </c>
      <c r="K9" s="112">
        <v>-24316</v>
      </c>
      <c r="L9" s="112">
        <v>-32415</v>
      </c>
      <c r="M9" s="112">
        <v>-30951</v>
      </c>
      <c r="N9" s="112">
        <v>-34333</v>
      </c>
      <c r="O9" s="112">
        <v>-30805</v>
      </c>
      <c r="P9" s="112">
        <v>-38579</v>
      </c>
      <c r="Q9" s="112">
        <v>-45000</v>
      </c>
      <c r="R9" s="112">
        <v>-43107</v>
      </c>
      <c r="S9" s="112">
        <v>-44923</v>
      </c>
      <c r="T9" s="112">
        <v>-53632</v>
      </c>
      <c r="U9" s="112">
        <v>-50366</v>
      </c>
      <c r="V9" s="112">
        <v>-60981</v>
      </c>
      <c r="W9" s="112">
        <v>-60227</v>
      </c>
      <c r="X9" s="112">
        <v>-60934</v>
      </c>
      <c r="Y9" s="112">
        <v>-64026.76172875</v>
      </c>
      <c r="Z9" s="112">
        <v>-67276.09209752876</v>
      </c>
      <c r="AA9" s="112">
        <v>-70689.9233397336</v>
      </c>
      <c r="AB9" s="112">
        <v>-74276.59020212282</v>
      </c>
      <c r="AC9" s="112">
        <v>-78044.85040089264</v>
      </c>
      <c r="AD9" s="112">
        <v>-82003.90611857137</v>
      </c>
      <c r="AE9" s="112">
        <v>-86163.42659473195</v>
      </c>
      <c r="AF9" s="112">
        <v>-90533.57186622494</v>
      </c>
      <c r="AG9" s="112">
        <v>-95125.01771547188</v>
      </c>
      <c r="AH9" s="112">
        <v>-99948.98188834176</v>
      </c>
      <c r="AI9" s="112">
        <v>-105017.25164626841</v>
      </c>
      <c r="AJ9" s="112">
        <v>-110342.21272056096</v>
      </c>
      <c r="AK9" s="112">
        <v>-115936.87974032194</v>
      </c>
      <c r="AL9" s="112">
        <v>-121814.9282090274</v>
      </c>
      <c r="AM9" s="112">
        <v>-127990.72810864676</v>
      </c>
      <c r="AN9" s="112">
        <v>-134479.3792142007</v>
      </c>
      <c r="AO9" s="112">
        <v>-141296.74820587912</v>
      </c>
      <c r="AP9" s="112">
        <v>-148459.50767028116</v>
      </c>
    </row>
    <row r="10" spans="1:42" ht="11.25">
      <c r="A10" s="203" t="s">
        <v>57</v>
      </c>
      <c r="B10" s="159">
        <v>-978</v>
      </c>
      <c r="C10" s="112">
        <v>-2097</v>
      </c>
      <c r="D10" s="112">
        <v>-1956</v>
      </c>
      <c r="E10" s="112">
        <v>-2850</v>
      </c>
      <c r="F10" s="112">
        <v>-1858</v>
      </c>
      <c r="G10" s="112">
        <v>-1514</v>
      </c>
      <c r="H10" s="112">
        <v>-1250</v>
      </c>
      <c r="I10" s="112">
        <v>-1142</v>
      </c>
      <c r="J10" s="112">
        <v>-1037</v>
      </c>
      <c r="K10" s="112">
        <v>-1126</v>
      </c>
      <c r="L10" s="112">
        <v>-1107</v>
      </c>
      <c r="M10" s="112">
        <v>-1019</v>
      </c>
      <c r="N10" s="112">
        <v>-977</v>
      </c>
      <c r="O10" s="112">
        <v>-1029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</row>
    <row r="11" spans="1:42" ht="11.25">
      <c r="A11" s="203" t="s">
        <v>295</v>
      </c>
      <c r="B11" s="159">
        <v>-3388</v>
      </c>
      <c r="C11" s="112">
        <v>-3887</v>
      </c>
      <c r="D11" s="112">
        <v>-3591</v>
      </c>
      <c r="E11" s="112">
        <v>-2961</v>
      </c>
      <c r="F11" s="112">
        <v>-4342</v>
      </c>
      <c r="G11" s="112">
        <v>-3195</v>
      </c>
      <c r="H11" s="112">
        <v>-2830</v>
      </c>
      <c r="I11" s="112">
        <v>-5156</v>
      </c>
      <c r="J11" s="112">
        <v>-5326</v>
      </c>
      <c r="K11" s="112">
        <v>-5225</v>
      </c>
      <c r="L11" s="112">
        <v>-6563</v>
      </c>
      <c r="M11" s="112">
        <v>-5281</v>
      </c>
      <c r="N11" s="112">
        <v>-5861</v>
      </c>
      <c r="O11" s="112">
        <v>-5472</v>
      </c>
      <c r="P11" s="112">
        <v>-6213</v>
      </c>
      <c r="Q11" s="112">
        <v>-5737</v>
      </c>
      <c r="R11" s="112">
        <v>-5473</v>
      </c>
      <c r="S11" s="112">
        <v>-4826</v>
      </c>
      <c r="T11" s="112">
        <v>-6602</v>
      </c>
      <c r="U11" s="112">
        <v>-15207</v>
      </c>
      <c r="V11" s="112">
        <v>-1822</v>
      </c>
      <c r="W11" s="112">
        <v>-1639</v>
      </c>
      <c r="X11" s="112">
        <v>-1894</v>
      </c>
      <c r="Y11" s="112">
        <v>-1941.35</v>
      </c>
      <c r="Z11" s="112">
        <v>-1989.88375</v>
      </c>
      <c r="AA11" s="112">
        <v>-2039.6308437499997</v>
      </c>
      <c r="AB11" s="112">
        <v>-2090.6216148437493</v>
      </c>
      <c r="AC11" s="112">
        <v>-2142.887155214843</v>
      </c>
      <c r="AD11" s="112">
        <v>-2196.4593340952138</v>
      </c>
      <c r="AE11" s="112">
        <v>-2251.3708174475937</v>
      </c>
      <c r="AF11" s="112">
        <v>-2307.6550878837834</v>
      </c>
      <c r="AG11" s="112">
        <v>-2365.346465080878</v>
      </c>
      <c r="AH11" s="112">
        <v>-2424.4801267078997</v>
      </c>
      <c r="AI11" s="112">
        <v>-2485.092129875597</v>
      </c>
      <c r="AJ11" s="112">
        <v>-2547.2194331224864</v>
      </c>
      <c r="AK11" s="112">
        <v>-2610.8999189505485</v>
      </c>
      <c r="AL11" s="112">
        <v>-2676.172416924312</v>
      </c>
      <c r="AM11" s="112">
        <v>-2743.0767273474194</v>
      </c>
      <c r="AN11" s="112">
        <v>-2811.6536455311048</v>
      </c>
      <c r="AO11" s="112">
        <v>-2881.944986669382</v>
      </c>
      <c r="AP11" s="112">
        <v>-2953.9936113361164</v>
      </c>
    </row>
    <row r="12" spans="1:42" ht="11.25">
      <c r="A12" s="203"/>
      <c r="B12" s="159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1:42" ht="11.25">
      <c r="A13" s="203" t="s">
        <v>58</v>
      </c>
      <c r="B13" s="159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</row>
    <row r="14" spans="1:42" ht="11.25">
      <c r="A14" s="203" t="s">
        <v>59</v>
      </c>
      <c r="B14" s="159">
        <v>19183</v>
      </c>
      <c r="C14" s="112">
        <v>19045</v>
      </c>
      <c r="D14" s="112">
        <v>16525</v>
      </c>
      <c r="E14" s="112">
        <v>20514</v>
      </c>
      <c r="F14" s="112">
        <v>22131</v>
      </c>
      <c r="G14" s="112">
        <v>23519</v>
      </c>
      <c r="H14" s="112">
        <v>26927</v>
      </c>
      <c r="I14" s="112">
        <v>29393</v>
      </c>
      <c r="J14" s="112">
        <v>31212</v>
      </c>
      <c r="K14" s="112">
        <v>34394</v>
      </c>
      <c r="L14" s="112">
        <v>37081</v>
      </c>
      <c r="M14" s="112">
        <v>40007</v>
      </c>
      <c r="N14" s="112">
        <v>43921</v>
      </c>
      <c r="O14" s="112">
        <v>51487</v>
      </c>
      <c r="P14" s="112">
        <v>52997</v>
      </c>
      <c r="Q14" s="112">
        <v>57099</v>
      </c>
      <c r="R14" s="112">
        <v>60716</v>
      </c>
      <c r="S14" s="112">
        <v>64376</v>
      </c>
      <c r="T14" s="112">
        <v>66169</v>
      </c>
      <c r="U14" s="112">
        <v>75908</v>
      </c>
      <c r="V14" s="112">
        <v>90892</v>
      </c>
      <c r="W14" s="112">
        <v>97415</v>
      </c>
      <c r="X14" s="112">
        <v>104113.815</v>
      </c>
      <c r="Y14" s="112">
        <v>109423.619565</v>
      </c>
      <c r="Z14" s="112">
        <v>115004.224162815</v>
      </c>
      <c r="AA14" s="112">
        <v>120869.43959511856</v>
      </c>
      <c r="AB14" s="112">
        <v>127033.7810144696</v>
      </c>
      <c r="AC14" s="112">
        <v>133512.50384620755</v>
      </c>
      <c r="AD14" s="112">
        <v>140321.64154236412</v>
      </c>
      <c r="AE14" s="112">
        <v>147478.04526102467</v>
      </c>
      <c r="AF14" s="112">
        <v>154999.42556933692</v>
      </c>
      <c r="AG14" s="112">
        <v>162904.3962733731</v>
      </c>
      <c r="AH14" s="112">
        <v>171212.5204833151</v>
      </c>
      <c r="AI14" s="112">
        <v>179944.35902796415</v>
      </c>
      <c r="AJ14" s="112">
        <v>189121.52133839033</v>
      </c>
      <c r="AK14" s="112">
        <v>198766.7189266482</v>
      </c>
      <c r="AL14" s="112">
        <v>208903.82159190727</v>
      </c>
      <c r="AM14" s="112">
        <v>219557.91649309453</v>
      </c>
      <c r="AN14" s="112">
        <v>230755.37023424232</v>
      </c>
      <c r="AO14" s="112">
        <v>242523.89411618866</v>
      </c>
      <c r="AP14" s="112">
        <v>254892.61271611426</v>
      </c>
    </row>
    <row r="15" spans="1:42" ht="11.25">
      <c r="A15" s="203" t="s">
        <v>296</v>
      </c>
      <c r="B15" s="159">
        <v>10131</v>
      </c>
      <c r="C15" s="112">
        <v>13405</v>
      </c>
      <c r="D15" s="112">
        <v>14436</v>
      </c>
      <c r="E15" s="112">
        <v>15850</v>
      </c>
      <c r="F15" s="112">
        <v>13612</v>
      </c>
      <c r="G15" s="112">
        <v>14893</v>
      </c>
      <c r="H15" s="112">
        <v>19264</v>
      </c>
      <c r="I15" s="112">
        <v>22286</v>
      </c>
      <c r="J15" s="112">
        <v>18965</v>
      </c>
      <c r="K15" s="112">
        <v>17046</v>
      </c>
      <c r="L15" s="112">
        <v>21701</v>
      </c>
      <c r="M15" s="112">
        <v>19951</v>
      </c>
      <c r="N15" s="112">
        <v>21017</v>
      </c>
      <c r="O15" s="112">
        <v>23781</v>
      </c>
      <c r="P15" s="112">
        <v>31133</v>
      </c>
      <c r="Q15" s="112">
        <v>30158</v>
      </c>
      <c r="R15" s="112">
        <v>29412</v>
      </c>
      <c r="S15" s="112">
        <v>38099</v>
      </c>
      <c r="T15" s="112">
        <v>39375</v>
      </c>
      <c r="U15" s="112">
        <v>27982</v>
      </c>
      <c r="V15" s="112">
        <v>30870</v>
      </c>
      <c r="W15" s="112">
        <v>18296</v>
      </c>
      <c r="X15" s="112">
        <v>23730</v>
      </c>
      <c r="Y15" s="112">
        <v>24323.249999999996</v>
      </c>
      <c r="Z15" s="112">
        <v>24931.331249999996</v>
      </c>
      <c r="AA15" s="112">
        <v>25554.614531249994</v>
      </c>
      <c r="AB15" s="112">
        <v>26193.479894531243</v>
      </c>
      <c r="AC15" s="112">
        <v>26848.316891894523</v>
      </c>
      <c r="AD15" s="112">
        <v>27519.524814191882</v>
      </c>
      <c r="AE15" s="112">
        <v>28207.512934546678</v>
      </c>
      <c r="AF15" s="112">
        <v>28912.70075791034</v>
      </c>
      <c r="AG15" s="112">
        <v>29635.518276858096</v>
      </c>
      <c r="AH15" s="112">
        <v>30376.406233779548</v>
      </c>
      <c r="AI15" s="112">
        <v>31135.816389624033</v>
      </c>
      <c r="AJ15" s="112">
        <v>31914.21179936463</v>
      </c>
      <c r="AK15" s="112">
        <v>32712.067094348746</v>
      </c>
      <c r="AL15" s="112">
        <v>33529.868771707464</v>
      </c>
      <c r="AM15" s="112">
        <v>34368.11549100015</v>
      </c>
      <c r="AN15" s="112">
        <v>35227.31837827515</v>
      </c>
      <c r="AO15" s="112">
        <v>36108.00133773203</v>
      </c>
      <c r="AP15" s="112">
        <v>37010.701371175324</v>
      </c>
    </row>
    <row r="16" spans="1:42" ht="11.25">
      <c r="A16" s="203" t="s">
        <v>297</v>
      </c>
      <c r="B16" s="159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>
        <v>3320</v>
      </c>
      <c r="W16" s="112">
        <v>35033</v>
      </c>
      <c r="X16" s="112">
        <v>2000</v>
      </c>
      <c r="Y16" s="112">
        <v>2050</v>
      </c>
      <c r="Z16" s="112">
        <v>2101</v>
      </c>
      <c r="AA16" s="112">
        <v>2154</v>
      </c>
      <c r="AB16" s="112">
        <v>2208</v>
      </c>
      <c r="AC16" s="112">
        <v>2263</v>
      </c>
      <c r="AD16" s="112">
        <v>2319</v>
      </c>
      <c r="AE16" s="112">
        <v>2377</v>
      </c>
      <c r="AF16" s="112">
        <v>2437</v>
      </c>
      <c r="AG16" s="112">
        <v>2498</v>
      </c>
      <c r="AH16" s="112">
        <v>2560</v>
      </c>
      <c r="AI16" s="112">
        <v>2624</v>
      </c>
      <c r="AJ16" s="112">
        <v>2690</v>
      </c>
      <c r="AK16" s="112">
        <v>2757</v>
      </c>
      <c r="AL16" s="112">
        <v>2826</v>
      </c>
      <c r="AM16" s="112">
        <v>2897</v>
      </c>
      <c r="AN16" s="112">
        <v>2969</v>
      </c>
      <c r="AO16" s="112">
        <v>3043</v>
      </c>
      <c r="AP16" s="112">
        <v>3119</v>
      </c>
    </row>
    <row r="17" spans="1:42" ht="11.25">
      <c r="A17" s="203" t="s">
        <v>298</v>
      </c>
      <c r="B17" s="159">
        <v>8155</v>
      </c>
      <c r="C17" s="112">
        <v>16403</v>
      </c>
      <c r="D17" s="112">
        <v>12865</v>
      </c>
      <c r="E17" s="112">
        <v>15166</v>
      </c>
      <c r="F17" s="112">
        <v>15020</v>
      </c>
      <c r="G17" s="112">
        <v>15236</v>
      </c>
      <c r="H17" s="112">
        <v>16235</v>
      </c>
      <c r="I17" s="112">
        <v>18424</v>
      </c>
      <c r="J17" s="112">
        <v>22510</v>
      </c>
      <c r="K17" s="112">
        <v>21222</v>
      </c>
      <c r="L17" s="112">
        <v>22069</v>
      </c>
      <c r="M17" s="112">
        <v>21724</v>
      </c>
      <c r="N17" s="112">
        <v>27868</v>
      </c>
      <c r="O17" s="112">
        <v>26028</v>
      </c>
      <c r="P17" s="112">
        <v>26017</v>
      </c>
      <c r="Q17" s="112">
        <v>28906</v>
      </c>
      <c r="R17" s="112">
        <v>31203</v>
      </c>
      <c r="S17" s="112">
        <v>36155</v>
      </c>
      <c r="T17" s="112">
        <v>33686</v>
      </c>
      <c r="U17" s="112">
        <v>36966</v>
      </c>
      <c r="V17" s="112">
        <v>25296</v>
      </c>
      <c r="W17" s="112">
        <v>25218</v>
      </c>
      <c r="X17" s="112">
        <v>25046</v>
      </c>
      <c r="Y17" s="112">
        <v>25421.69</v>
      </c>
      <c r="Z17" s="112">
        <v>25803.015349999998</v>
      </c>
      <c r="AA17" s="112">
        <v>26190.060580249996</v>
      </c>
      <c r="AB17" s="112">
        <v>26582.911488953745</v>
      </c>
      <c r="AC17" s="112">
        <v>26981.65516128805</v>
      </c>
      <c r="AD17" s="112">
        <v>27386.37998870737</v>
      </c>
      <c r="AE17" s="112">
        <v>27797.175688537976</v>
      </c>
      <c r="AF17" s="112">
        <v>28214.133323866045</v>
      </c>
      <c r="AG17" s="112">
        <v>28637.345323724032</v>
      </c>
      <c r="AH17" s="112">
        <v>29066.90550357989</v>
      </c>
      <c r="AI17" s="112">
        <v>29502.909086133583</v>
      </c>
      <c r="AJ17" s="112">
        <v>29945.452722425583</v>
      </c>
      <c r="AK17" s="112">
        <v>30394.634513261964</v>
      </c>
      <c r="AL17" s="112">
        <v>30850.55403096089</v>
      </c>
      <c r="AM17" s="112">
        <v>31313.312341425302</v>
      </c>
      <c r="AN17" s="112">
        <v>31783.01202654668</v>
      </c>
      <c r="AO17" s="112">
        <v>32259.757206944876</v>
      </c>
      <c r="AP17" s="112">
        <v>32743.653565049048</v>
      </c>
    </row>
    <row r="18" spans="1:42" ht="11.25">
      <c r="A18" s="203" t="s">
        <v>299</v>
      </c>
      <c r="B18" s="159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>
        <v>3693</v>
      </c>
      <c r="W18" s="112">
        <v>3497</v>
      </c>
      <c r="X18" s="112">
        <v>3518</v>
      </c>
      <c r="Y18" s="112">
        <v>3553.18</v>
      </c>
      <c r="Z18" s="112">
        <v>3588.7118</v>
      </c>
      <c r="AA18" s="112">
        <v>3624.598918</v>
      </c>
      <c r="AB18" s="112">
        <v>3660.84490718</v>
      </c>
      <c r="AC18" s="112">
        <v>3697.4533562518</v>
      </c>
      <c r="AD18" s="112">
        <v>3734.427889814318</v>
      </c>
      <c r="AE18" s="112">
        <v>3771.7721687124613</v>
      </c>
      <c r="AF18" s="112">
        <v>3809.489890399586</v>
      </c>
      <c r="AG18" s="112">
        <v>3847.5847893035816</v>
      </c>
      <c r="AH18" s="112">
        <v>3886.0606371966173</v>
      </c>
      <c r="AI18" s="112">
        <v>3924.9212435685836</v>
      </c>
      <c r="AJ18" s="112">
        <v>3964.1704560042695</v>
      </c>
      <c r="AK18" s="112">
        <v>4003.8121605643123</v>
      </c>
      <c r="AL18" s="112">
        <v>4043.8502821699553</v>
      </c>
      <c r="AM18" s="112">
        <v>4084.288784991655</v>
      </c>
      <c r="AN18" s="112">
        <v>4125.131672841571</v>
      </c>
      <c r="AO18" s="112">
        <v>4166.382989569987</v>
      </c>
      <c r="AP18" s="112">
        <v>4208.046819465687</v>
      </c>
    </row>
    <row r="19" spans="1:42" ht="11.25">
      <c r="A19" s="204" t="s">
        <v>155</v>
      </c>
      <c r="B19" s="159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1769</v>
      </c>
      <c r="J19" s="112">
        <v>0</v>
      </c>
      <c r="K19" s="112">
        <v>0</v>
      </c>
      <c r="L19" s="112">
        <v>2598</v>
      </c>
      <c r="M19" s="112">
        <v>2411</v>
      </c>
      <c r="N19" s="112">
        <v>2546</v>
      </c>
      <c r="O19" s="112">
        <v>0</v>
      </c>
      <c r="P19" s="112">
        <v>3958</v>
      </c>
      <c r="Q19" s="112">
        <v>4444</v>
      </c>
      <c r="R19" s="112">
        <v>4475</v>
      </c>
      <c r="S19" s="112">
        <v>508</v>
      </c>
      <c r="T19" s="112">
        <v>0</v>
      </c>
      <c r="U19" s="112">
        <v>7560</v>
      </c>
      <c r="V19" s="112">
        <v>8506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</row>
    <row r="20" spans="1:42" ht="11.25">
      <c r="A20" s="203" t="s">
        <v>60</v>
      </c>
      <c r="B20" s="159">
        <v>670</v>
      </c>
      <c r="C20" s="112">
        <v>1374</v>
      </c>
      <c r="D20" s="112">
        <v>1227</v>
      </c>
      <c r="E20" s="112">
        <v>1460</v>
      </c>
      <c r="F20" s="112">
        <v>958</v>
      </c>
      <c r="G20" s="112">
        <v>777</v>
      </c>
      <c r="H20" s="112">
        <v>1001</v>
      </c>
      <c r="I20" s="112">
        <v>784</v>
      </c>
      <c r="J20" s="112">
        <v>999</v>
      </c>
      <c r="K20" s="112">
        <v>1159</v>
      </c>
      <c r="L20" s="112">
        <v>1113</v>
      </c>
      <c r="M20" s="112">
        <v>1117</v>
      </c>
      <c r="N20" s="112">
        <v>1436</v>
      </c>
      <c r="O20" s="112">
        <v>2243</v>
      </c>
      <c r="P20" s="112">
        <v>1691</v>
      </c>
      <c r="Q20" s="112">
        <v>1909</v>
      </c>
      <c r="R20" s="112">
        <v>2446</v>
      </c>
      <c r="S20" s="112">
        <v>2517</v>
      </c>
      <c r="T20" s="112">
        <v>1345</v>
      </c>
      <c r="U20" s="112">
        <v>1610</v>
      </c>
      <c r="V20" s="112">
        <v>1593</v>
      </c>
      <c r="W20" s="112">
        <v>1641</v>
      </c>
      <c r="X20" s="112">
        <v>1690</v>
      </c>
      <c r="Y20" s="112">
        <v>1741</v>
      </c>
      <c r="Z20" s="112">
        <v>1793</v>
      </c>
      <c r="AA20" s="112">
        <v>1847</v>
      </c>
      <c r="AB20" s="112">
        <v>1902</v>
      </c>
      <c r="AC20" s="112">
        <v>1959</v>
      </c>
      <c r="AD20" s="112">
        <v>2018</v>
      </c>
      <c r="AE20" s="112">
        <v>2079</v>
      </c>
      <c r="AF20" s="112">
        <v>2141</v>
      </c>
      <c r="AG20" s="112">
        <v>2205</v>
      </c>
      <c r="AH20" s="112">
        <v>2271</v>
      </c>
      <c r="AI20" s="112">
        <v>2339</v>
      </c>
      <c r="AJ20" s="112">
        <v>2409</v>
      </c>
      <c r="AK20" s="112">
        <v>2481</v>
      </c>
      <c r="AL20" s="112">
        <v>2555</v>
      </c>
      <c r="AM20" s="112">
        <v>2632</v>
      </c>
      <c r="AN20" s="112">
        <v>2711</v>
      </c>
      <c r="AO20" s="112">
        <v>2792</v>
      </c>
      <c r="AP20" s="112">
        <v>2876</v>
      </c>
    </row>
    <row r="21" spans="1:42" ht="11.25">
      <c r="A21" s="203" t="s">
        <v>61</v>
      </c>
      <c r="B21" s="159">
        <v>336</v>
      </c>
      <c r="C21" s="112">
        <v>0</v>
      </c>
      <c r="D21" s="112">
        <v>22</v>
      </c>
      <c r="E21" s="112">
        <v>63</v>
      </c>
      <c r="F21" s="112">
        <v>3242</v>
      </c>
      <c r="G21" s="112">
        <v>999</v>
      </c>
      <c r="H21" s="112">
        <v>2234</v>
      </c>
      <c r="I21" s="112">
        <v>1962</v>
      </c>
      <c r="J21" s="112">
        <v>2350</v>
      </c>
      <c r="K21" s="112">
        <v>2177</v>
      </c>
      <c r="L21" s="112">
        <v>2119</v>
      </c>
      <c r="M21" s="112">
        <v>228</v>
      </c>
      <c r="N21" s="112">
        <v>76</v>
      </c>
      <c r="O21" s="112">
        <v>39</v>
      </c>
      <c r="P21" s="112">
        <v>155</v>
      </c>
      <c r="Q21" s="112">
        <v>117</v>
      </c>
      <c r="R21" s="112">
        <v>327</v>
      </c>
      <c r="S21" s="112">
        <v>827</v>
      </c>
      <c r="T21" s="112">
        <v>1952</v>
      </c>
      <c r="U21" s="112">
        <v>1135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</row>
    <row r="22" spans="1:42" ht="11.25">
      <c r="A22" s="203" t="s">
        <v>300</v>
      </c>
      <c r="B22" s="159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>
        <v>1850</v>
      </c>
      <c r="W22" s="112">
        <v>-541</v>
      </c>
      <c r="X22" s="112">
        <v>492</v>
      </c>
      <c r="Y22" s="112">
        <v>2354</v>
      </c>
      <c r="Z22" s="112">
        <v>4839</v>
      </c>
      <c r="AA22" s="112">
        <v>6711</v>
      </c>
      <c r="AB22" s="112">
        <v>6684</v>
      </c>
      <c r="AC22" s="112">
        <v>5517</v>
      </c>
      <c r="AD22" s="112">
        <v>6335</v>
      </c>
      <c r="AE22" s="112">
        <v>7432</v>
      </c>
      <c r="AF22" s="112">
        <v>7914</v>
      </c>
      <c r="AG22" s="112">
        <v>4675</v>
      </c>
      <c r="AH22" s="112">
        <v>6347</v>
      </c>
      <c r="AI22" s="112">
        <v>3641</v>
      </c>
      <c r="AJ22" s="112">
        <v>3448</v>
      </c>
      <c r="AK22" s="112">
        <v>783</v>
      </c>
      <c r="AL22" s="112">
        <v>-1473</v>
      </c>
      <c r="AM22" s="112">
        <v>-1140</v>
      </c>
      <c r="AN22" s="112">
        <v>-1242</v>
      </c>
      <c r="AO22" s="112">
        <v>-1323</v>
      </c>
      <c r="AP22" s="112">
        <v>-1327</v>
      </c>
    </row>
    <row r="23" spans="1:42" ht="11.25">
      <c r="A23" s="203" t="s">
        <v>62</v>
      </c>
      <c r="B23" s="159">
        <v>2954</v>
      </c>
      <c r="C23" s="112">
        <v>2377</v>
      </c>
      <c r="D23" s="112">
        <v>947</v>
      </c>
      <c r="E23" s="112">
        <v>819</v>
      </c>
      <c r="F23" s="112">
        <v>748</v>
      </c>
      <c r="G23" s="112">
        <v>532</v>
      </c>
      <c r="H23" s="112">
        <v>1469</v>
      </c>
      <c r="I23" s="112">
        <v>2121</v>
      </c>
      <c r="J23" s="112">
        <v>9744</v>
      </c>
      <c r="K23" s="112">
        <v>3320</v>
      </c>
      <c r="L23" s="112">
        <v>1776</v>
      </c>
      <c r="M23" s="112">
        <v>1890</v>
      </c>
      <c r="N23" s="112">
        <v>2158</v>
      </c>
      <c r="O23" s="112">
        <v>2067</v>
      </c>
      <c r="P23" s="112">
        <v>5381</v>
      </c>
      <c r="Q23" s="112">
        <v>2102</v>
      </c>
      <c r="R23" s="112">
        <v>94</v>
      </c>
      <c r="S23" s="112">
        <v>1703</v>
      </c>
      <c r="T23" s="112">
        <v>1837</v>
      </c>
      <c r="U23" s="112">
        <v>10143</v>
      </c>
      <c r="V23" s="112">
        <v>6722</v>
      </c>
      <c r="W23" s="112">
        <v>2777</v>
      </c>
      <c r="X23" s="112">
        <v>2323</v>
      </c>
      <c r="Y23" s="112">
        <v>2381.075</v>
      </c>
      <c r="Z23" s="112">
        <v>2440.6018749999994</v>
      </c>
      <c r="AA23" s="112">
        <v>2501.616921874999</v>
      </c>
      <c r="AB23" s="112">
        <v>2564.157344921874</v>
      </c>
      <c r="AC23" s="112">
        <v>2628.2612785449205</v>
      </c>
      <c r="AD23" s="112">
        <v>2693.967810508543</v>
      </c>
      <c r="AE23" s="112">
        <v>2761.3170057712564</v>
      </c>
      <c r="AF23" s="112">
        <v>2830.3499309155377</v>
      </c>
      <c r="AG23" s="112">
        <v>2901.108679188426</v>
      </c>
      <c r="AH23" s="112">
        <v>2973.6363961681363</v>
      </c>
      <c r="AI23" s="112">
        <v>3047.9773060723396</v>
      </c>
      <c r="AJ23" s="112">
        <v>3124.176738724148</v>
      </c>
      <c r="AK23" s="112">
        <v>3202.2811571922516</v>
      </c>
      <c r="AL23" s="112">
        <v>3282.338186122058</v>
      </c>
      <c r="AM23" s="112">
        <v>3364.396640775109</v>
      </c>
      <c r="AN23" s="112">
        <v>3448.5065567944866</v>
      </c>
      <c r="AO23" s="112">
        <v>3534.7192207143485</v>
      </c>
      <c r="AP23" s="112">
        <v>3623.087201232207</v>
      </c>
    </row>
    <row r="24" spans="1:42" ht="11.25">
      <c r="A24" s="203" t="s">
        <v>301</v>
      </c>
      <c r="B24" s="15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>
        <v>745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</row>
    <row r="25" spans="1:42" ht="11.25">
      <c r="A25" s="203" t="s">
        <v>302</v>
      </c>
      <c r="B25" s="159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</row>
    <row r="26" spans="1:42" ht="11.25">
      <c r="A26" s="203"/>
      <c r="B26" s="159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</row>
    <row r="27" spans="1:42" ht="11.25">
      <c r="A27" s="201" t="s">
        <v>70</v>
      </c>
      <c r="B27" s="161">
        <v>3697</v>
      </c>
      <c r="C27" s="123">
        <v>9355</v>
      </c>
      <c r="D27" s="123">
        <v>4314</v>
      </c>
      <c r="E27" s="123">
        <v>10815</v>
      </c>
      <c r="F27" s="123">
        <v>10068</v>
      </c>
      <c r="G27" s="123">
        <v>9437</v>
      </c>
      <c r="H27" s="123">
        <v>15091</v>
      </c>
      <c r="I27" s="123">
        <v>16584</v>
      </c>
      <c r="J27" s="123">
        <v>24107</v>
      </c>
      <c r="K27" s="123">
        <v>18663</v>
      </c>
      <c r="L27" s="123">
        <v>18433</v>
      </c>
      <c r="M27" s="123">
        <v>18361</v>
      </c>
      <c r="N27" s="123">
        <v>25251</v>
      </c>
      <c r="O27" s="123">
        <v>32570</v>
      </c>
      <c r="P27" s="123">
        <v>40491</v>
      </c>
      <c r="Q27" s="123">
        <v>34377</v>
      </c>
      <c r="R27" s="123">
        <v>36612</v>
      </c>
      <c r="S27" s="123">
        <v>45975</v>
      </c>
      <c r="T27" s="123">
        <v>30959</v>
      </c>
      <c r="U27" s="123">
        <v>44912</v>
      </c>
      <c r="V27" s="162">
        <v>55510</v>
      </c>
      <c r="W27" s="162">
        <v>62933</v>
      </c>
      <c r="X27" s="162">
        <v>39861.815</v>
      </c>
      <c r="Y27" s="162">
        <v>43250.01283624998</v>
      </c>
      <c r="Z27" s="162">
        <v>47344.32789028621</v>
      </c>
      <c r="AA27" s="162">
        <v>50915.47824200994</v>
      </c>
      <c r="AB27" s="162">
        <v>52680.445768459875</v>
      </c>
      <c r="AC27" s="162">
        <v>53404.49040151044</v>
      </c>
      <c r="AD27" s="162">
        <v>56218.16513905367</v>
      </c>
      <c r="AE27" s="162">
        <v>59422.33184893151</v>
      </c>
      <c r="AF27" s="162">
        <v>62128.17790691329</v>
      </c>
      <c r="AG27" s="162">
        <v>61236.23371214586</v>
      </c>
      <c r="AH27" s="162">
        <v>65385.39112574856</v>
      </c>
      <c r="AI27" s="162">
        <v>65294.92288058038</v>
      </c>
      <c r="AJ27" s="162">
        <v>67863.50301268806</v>
      </c>
      <c r="AK27" s="162">
        <v>68113.22836754941</v>
      </c>
      <c r="AL27" s="162">
        <v>68934.64123696652</v>
      </c>
      <c r="AM27" s="162">
        <v>72517.75318534469</v>
      </c>
      <c r="AN27" s="162">
        <v>75846.0701271221</v>
      </c>
      <c r="AO27" s="162">
        <v>79386.6187202997</v>
      </c>
      <c r="AP27" s="162">
        <v>83206.9741443685</v>
      </c>
    </row>
    <row r="28" spans="1:42" ht="11.25">
      <c r="A28" s="203"/>
      <c r="B28" s="159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</row>
    <row r="29" spans="1:42" ht="11.25">
      <c r="A29" s="201" t="s">
        <v>71</v>
      </c>
      <c r="B29" s="159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</row>
    <row r="30" spans="1:42" ht="11.25">
      <c r="A30" s="203" t="s">
        <v>63</v>
      </c>
      <c r="B30" s="159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27"/>
      <c r="AJ30" s="127"/>
      <c r="AK30" s="127"/>
      <c r="AL30" s="127"/>
      <c r="AM30" s="127"/>
      <c r="AN30" s="127"/>
      <c r="AO30" s="127"/>
      <c r="AP30" s="127"/>
    </row>
    <row r="31" spans="1:42" ht="11.25">
      <c r="A31" s="203" t="s">
        <v>86</v>
      </c>
      <c r="B31" s="159">
        <v>-7731</v>
      </c>
      <c r="C31" s="112">
        <v>-8997</v>
      </c>
      <c r="D31" s="112">
        <v>-9289</v>
      </c>
      <c r="E31" s="112">
        <v>-7566</v>
      </c>
      <c r="F31" s="112">
        <v>-7785</v>
      </c>
      <c r="G31" s="112">
        <v>-9021</v>
      </c>
      <c r="H31" s="112">
        <v>-16194</v>
      </c>
      <c r="I31" s="112">
        <v>-12385</v>
      </c>
      <c r="J31" s="112">
        <v>-26286</v>
      </c>
      <c r="K31" s="112">
        <v>-17513</v>
      </c>
      <c r="L31" s="112">
        <v>-19798</v>
      </c>
      <c r="M31" s="112">
        <v>-19475</v>
      </c>
      <c r="N31" s="112">
        <v>-20832</v>
      </c>
      <c r="O31" s="112">
        <v>-26184</v>
      </c>
      <c r="P31" s="112">
        <v>-29534</v>
      </c>
      <c r="Q31" s="112">
        <v>-39844</v>
      </c>
      <c r="R31" s="112">
        <v>-31971</v>
      </c>
      <c r="S31" s="112">
        <v>-44565</v>
      </c>
      <c r="T31" s="112">
        <v>-44403</v>
      </c>
      <c r="U31" s="112">
        <v>-46967</v>
      </c>
      <c r="V31" s="112">
        <v>-54925</v>
      </c>
      <c r="W31" s="112">
        <v>-99501</v>
      </c>
      <c r="X31" s="112">
        <v>-42305</v>
      </c>
      <c r="Y31" s="112">
        <v>-46551</v>
      </c>
      <c r="Z31" s="112">
        <v>-52538</v>
      </c>
      <c r="AA31" s="112">
        <v>-54049</v>
      </c>
      <c r="AB31" s="112">
        <v>-51328</v>
      </c>
      <c r="AC31" s="112">
        <v>-46527</v>
      </c>
      <c r="AD31" s="112">
        <v>-52145</v>
      </c>
      <c r="AE31" s="112">
        <v>-48138</v>
      </c>
      <c r="AF31" s="112">
        <v>-59502</v>
      </c>
      <c r="AG31" s="112">
        <v>-55553</v>
      </c>
      <c r="AH31" s="112">
        <v>-55159</v>
      </c>
      <c r="AI31" s="112">
        <v>-50283</v>
      </c>
      <c r="AJ31" s="112">
        <v>-55126</v>
      </c>
      <c r="AK31" s="112">
        <v>-70158</v>
      </c>
      <c r="AL31" s="112">
        <v>-57787</v>
      </c>
      <c r="AM31" s="112">
        <v>-60008</v>
      </c>
      <c r="AN31" s="112">
        <v>-61636</v>
      </c>
      <c r="AO31" s="112">
        <v>-66544</v>
      </c>
      <c r="AP31" s="112">
        <v>-69326</v>
      </c>
    </row>
    <row r="32" spans="1:42" ht="11.25">
      <c r="A32" s="203" t="s">
        <v>64</v>
      </c>
      <c r="B32" s="159">
        <v>-2043</v>
      </c>
      <c r="C32" s="112">
        <v>-2929</v>
      </c>
      <c r="D32" s="112">
        <v>0</v>
      </c>
      <c r="E32" s="112">
        <v>-8</v>
      </c>
      <c r="F32" s="112">
        <v>-125</v>
      </c>
      <c r="G32" s="112">
        <v>-66</v>
      </c>
      <c r="H32" s="112">
        <v>-157</v>
      </c>
      <c r="I32" s="112">
        <v>-110</v>
      </c>
      <c r="J32" s="112">
        <v>0</v>
      </c>
      <c r="K32" s="112">
        <v>0</v>
      </c>
      <c r="L32" s="112">
        <v>-228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-40</v>
      </c>
      <c r="S32" s="112">
        <v>-40</v>
      </c>
      <c r="T32" s="112">
        <v>0</v>
      </c>
      <c r="U32" s="112">
        <v>-8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</row>
    <row r="33" spans="1:42" ht="11.25">
      <c r="A33" s="203"/>
      <c r="B33" s="159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</row>
    <row r="34" spans="1:42" ht="11.25">
      <c r="A34" s="203" t="s">
        <v>65</v>
      </c>
      <c r="B34" s="159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</row>
    <row r="35" spans="1:42" ht="11.25">
      <c r="A35" s="203" t="s">
        <v>87</v>
      </c>
      <c r="B35" s="159">
        <v>761</v>
      </c>
      <c r="C35" s="112">
        <v>3506</v>
      </c>
      <c r="D35" s="112">
        <v>2004</v>
      </c>
      <c r="E35" s="112">
        <v>1666</v>
      </c>
      <c r="F35" s="112">
        <v>691</v>
      </c>
      <c r="G35" s="112">
        <v>2655</v>
      </c>
      <c r="H35" s="112">
        <v>2785</v>
      </c>
      <c r="I35" s="112">
        <v>2360</v>
      </c>
      <c r="J35" s="112">
        <v>2020</v>
      </c>
      <c r="K35" s="112">
        <v>1140</v>
      </c>
      <c r="L35" s="112">
        <v>1378</v>
      </c>
      <c r="M35" s="112">
        <v>1982</v>
      </c>
      <c r="N35" s="112">
        <v>2516</v>
      </c>
      <c r="O35" s="112">
        <v>2099</v>
      </c>
      <c r="P35" s="112">
        <v>1034</v>
      </c>
      <c r="Q35" s="112">
        <v>1048</v>
      </c>
      <c r="R35" s="112">
        <v>324</v>
      </c>
      <c r="S35" s="112">
        <v>582</v>
      </c>
      <c r="T35" s="112">
        <v>440</v>
      </c>
      <c r="U35" s="112">
        <v>495</v>
      </c>
      <c r="V35" s="112">
        <v>338</v>
      </c>
      <c r="W35" s="112">
        <v>735</v>
      </c>
      <c r="X35" s="112">
        <v>384</v>
      </c>
      <c r="Y35" s="112">
        <v>375</v>
      </c>
      <c r="Z35" s="112">
        <v>375</v>
      </c>
      <c r="AA35" s="112">
        <v>371</v>
      </c>
      <c r="AB35" s="112">
        <v>377</v>
      </c>
      <c r="AC35" s="112">
        <v>388</v>
      </c>
      <c r="AD35" s="112">
        <v>330</v>
      </c>
      <c r="AE35" s="112">
        <v>408</v>
      </c>
      <c r="AF35" s="112">
        <v>424</v>
      </c>
      <c r="AG35" s="112">
        <v>441</v>
      </c>
      <c r="AH35" s="112">
        <v>458</v>
      </c>
      <c r="AI35" s="112">
        <v>477</v>
      </c>
      <c r="AJ35" s="112">
        <v>496</v>
      </c>
      <c r="AK35" s="112">
        <v>516</v>
      </c>
      <c r="AL35" s="112">
        <v>536</v>
      </c>
      <c r="AM35" s="112">
        <v>558</v>
      </c>
      <c r="AN35" s="112">
        <v>580</v>
      </c>
      <c r="AO35" s="112">
        <v>603</v>
      </c>
      <c r="AP35" s="112">
        <v>603</v>
      </c>
    </row>
    <row r="36" spans="1:42" ht="11.25">
      <c r="A36" s="203" t="s">
        <v>89</v>
      </c>
      <c r="B36" s="159">
        <v>3543</v>
      </c>
      <c r="C36" s="112">
        <v>0</v>
      </c>
      <c r="D36" s="112">
        <v>135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</row>
    <row r="37" spans="1:42" ht="11.25">
      <c r="A37" s="203" t="s">
        <v>64</v>
      </c>
      <c r="B37" s="159">
        <v>111</v>
      </c>
      <c r="C37" s="112">
        <v>285</v>
      </c>
      <c r="D37" s="112">
        <v>255</v>
      </c>
      <c r="E37" s="112">
        <v>3940</v>
      </c>
      <c r="F37" s="112">
        <v>41</v>
      </c>
      <c r="G37" s="112">
        <v>194</v>
      </c>
      <c r="H37" s="112">
        <v>99</v>
      </c>
      <c r="I37" s="112">
        <v>108</v>
      </c>
      <c r="J37" s="112">
        <v>0</v>
      </c>
      <c r="K37" s="112">
        <v>0</v>
      </c>
      <c r="L37" s="112">
        <v>314</v>
      </c>
      <c r="M37" s="112">
        <v>54</v>
      </c>
      <c r="N37" s="112">
        <v>63</v>
      </c>
      <c r="O37" s="112">
        <v>0</v>
      </c>
      <c r="P37" s="112">
        <v>15</v>
      </c>
      <c r="Q37" s="112">
        <v>4</v>
      </c>
      <c r="R37" s="112">
        <v>10</v>
      </c>
      <c r="S37" s="112">
        <v>14</v>
      </c>
      <c r="T37" s="112">
        <v>0</v>
      </c>
      <c r="U37" s="112">
        <v>82</v>
      </c>
      <c r="V37" s="112">
        <v>50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</row>
    <row r="38" spans="1:42" ht="11.25">
      <c r="A38" s="203"/>
      <c r="B38" s="15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</row>
    <row r="39" spans="1:42" ht="11.25">
      <c r="A39" s="201" t="s">
        <v>72</v>
      </c>
      <c r="B39" s="161">
        <v>-5359</v>
      </c>
      <c r="C39" s="123">
        <v>-8135</v>
      </c>
      <c r="D39" s="123">
        <v>-6895</v>
      </c>
      <c r="E39" s="123">
        <v>-1968</v>
      </c>
      <c r="F39" s="123">
        <v>-7178</v>
      </c>
      <c r="G39" s="123">
        <v>-6238</v>
      </c>
      <c r="H39" s="123">
        <v>-13467</v>
      </c>
      <c r="I39" s="123">
        <v>-10027</v>
      </c>
      <c r="J39" s="123">
        <v>-24266</v>
      </c>
      <c r="K39" s="123">
        <v>-16373</v>
      </c>
      <c r="L39" s="123">
        <v>-18334</v>
      </c>
      <c r="M39" s="123">
        <v>-17439</v>
      </c>
      <c r="N39" s="123">
        <v>-18253</v>
      </c>
      <c r="O39" s="123">
        <v>-24085</v>
      </c>
      <c r="P39" s="123">
        <v>-28485</v>
      </c>
      <c r="Q39" s="123">
        <v>-38792</v>
      </c>
      <c r="R39" s="123">
        <v>-31677</v>
      </c>
      <c r="S39" s="123">
        <v>-44009</v>
      </c>
      <c r="T39" s="123">
        <v>-43963</v>
      </c>
      <c r="U39" s="123">
        <v>-46398</v>
      </c>
      <c r="V39" s="162">
        <v>-54537</v>
      </c>
      <c r="W39" s="162">
        <v>-98766</v>
      </c>
      <c r="X39" s="162">
        <v>-41921</v>
      </c>
      <c r="Y39" s="162">
        <v>-46176</v>
      </c>
      <c r="Z39" s="162">
        <v>-52163</v>
      </c>
      <c r="AA39" s="162">
        <v>-53678</v>
      </c>
      <c r="AB39" s="162">
        <v>-50951</v>
      </c>
      <c r="AC39" s="162">
        <v>-46139</v>
      </c>
      <c r="AD39" s="162">
        <v>-51815</v>
      </c>
      <c r="AE39" s="162">
        <v>-47730</v>
      </c>
      <c r="AF39" s="162">
        <v>-59078</v>
      </c>
      <c r="AG39" s="162">
        <v>-55112</v>
      </c>
      <c r="AH39" s="162">
        <v>-54701</v>
      </c>
      <c r="AI39" s="162">
        <v>-49806</v>
      </c>
      <c r="AJ39" s="162">
        <v>-54630</v>
      </c>
      <c r="AK39" s="162">
        <v>-69642</v>
      </c>
      <c r="AL39" s="162">
        <v>-57251</v>
      </c>
      <c r="AM39" s="162">
        <v>-59450</v>
      </c>
      <c r="AN39" s="162">
        <v>-61056</v>
      </c>
      <c r="AO39" s="162">
        <v>-65941</v>
      </c>
      <c r="AP39" s="162">
        <v>-68723</v>
      </c>
    </row>
    <row r="40" spans="1:42" ht="11.25">
      <c r="A40" s="201"/>
      <c r="B40" s="15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1:42" ht="11.25">
      <c r="A41" s="201" t="s">
        <v>73</v>
      </c>
      <c r="B41" s="15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1:42" ht="11.25">
      <c r="A42" s="203" t="s">
        <v>66</v>
      </c>
      <c r="B42" s="159">
        <v>2347</v>
      </c>
      <c r="C42" s="112">
        <v>5309</v>
      </c>
      <c r="D42" s="112">
        <v>2500</v>
      </c>
      <c r="E42" s="112">
        <v>2000</v>
      </c>
      <c r="F42" s="112">
        <v>2000</v>
      </c>
      <c r="G42" s="112">
        <v>0</v>
      </c>
      <c r="H42" s="112">
        <v>750</v>
      </c>
      <c r="I42" s="112">
        <v>2750</v>
      </c>
      <c r="J42" s="112">
        <v>2464</v>
      </c>
      <c r="K42" s="112">
        <v>4748</v>
      </c>
      <c r="L42" s="112">
        <v>2254</v>
      </c>
      <c r="M42" s="112">
        <v>5448</v>
      </c>
      <c r="N42" s="112">
        <v>5175</v>
      </c>
      <c r="O42" s="112">
        <v>0</v>
      </c>
      <c r="P42" s="112">
        <v>1557</v>
      </c>
      <c r="Q42" s="112">
        <v>1669</v>
      </c>
      <c r="R42" s="112">
        <v>1998</v>
      </c>
      <c r="S42" s="112">
        <v>2386</v>
      </c>
      <c r="T42" s="112">
        <v>2379</v>
      </c>
      <c r="U42" s="112">
        <v>29145</v>
      </c>
      <c r="V42" s="112">
        <v>3800</v>
      </c>
      <c r="W42" s="112">
        <v>23128</v>
      </c>
      <c r="X42" s="112">
        <v>3872</v>
      </c>
      <c r="Y42" s="112">
        <v>6804</v>
      </c>
      <c r="Z42" s="112">
        <v>12149</v>
      </c>
      <c r="AA42" s="112">
        <v>12186</v>
      </c>
      <c r="AB42" s="112">
        <v>9687</v>
      </c>
      <c r="AC42" s="112">
        <v>8062</v>
      </c>
      <c r="AD42" s="112">
        <v>9392</v>
      </c>
      <c r="AE42" s="112">
        <v>2088</v>
      </c>
      <c r="AF42" s="112">
        <v>10057</v>
      </c>
      <c r="AG42" s="112">
        <v>30101</v>
      </c>
      <c r="AH42" s="112">
        <v>8337</v>
      </c>
      <c r="AI42" s="112">
        <v>0</v>
      </c>
      <c r="AJ42" s="112">
        <v>0</v>
      </c>
      <c r="AK42" s="112">
        <v>14754</v>
      </c>
      <c r="AL42" s="112">
        <v>2439</v>
      </c>
      <c r="AM42" s="112">
        <v>0</v>
      </c>
      <c r="AN42" s="112">
        <v>0</v>
      </c>
      <c r="AO42" s="112">
        <v>0</v>
      </c>
      <c r="AP42" s="112">
        <v>0</v>
      </c>
    </row>
    <row r="43" spans="1:42" ht="11.25">
      <c r="A43" s="203" t="s">
        <v>67</v>
      </c>
      <c r="B43" s="159">
        <v>0</v>
      </c>
      <c r="C43" s="112">
        <v>0</v>
      </c>
      <c r="D43" s="112">
        <v>0</v>
      </c>
      <c r="E43" s="112">
        <v>-3685</v>
      </c>
      <c r="F43" s="112">
        <v>-2515</v>
      </c>
      <c r="G43" s="112">
        <v>0</v>
      </c>
      <c r="H43" s="112">
        <v>0</v>
      </c>
      <c r="I43" s="112">
        <v>0</v>
      </c>
      <c r="J43" s="112">
        <v>0</v>
      </c>
      <c r="K43" s="112">
        <v>2000</v>
      </c>
      <c r="L43" s="112"/>
      <c r="M43" s="112">
        <v>-905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</row>
    <row r="44" spans="1:42" ht="11.25">
      <c r="A44" s="203" t="s">
        <v>68</v>
      </c>
      <c r="B44" s="159">
        <v>-1416</v>
      </c>
      <c r="C44" s="112">
        <v>-1832</v>
      </c>
      <c r="D44" s="112">
        <v>-2140</v>
      </c>
      <c r="E44" s="112">
        <v>-2629</v>
      </c>
      <c r="F44" s="112">
        <v>-2923</v>
      </c>
      <c r="G44" s="112">
        <v>-3181</v>
      </c>
      <c r="H44" s="112">
        <v>-2976</v>
      </c>
      <c r="I44" s="112">
        <v>-3177</v>
      </c>
      <c r="J44" s="112">
        <v>-3471</v>
      </c>
      <c r="K44" s="112">
        <v>-3742</v>
      </c>
      <c r="L44" s="112">
        <v>-3278</v>
      </c>
      <c r="M44" s="112">
        <v>-5448</v>
      </c>
      <c r="N44" s="112">
        <v>-5175</v>
      </c>
      <c r="O44" s="112">
        <v>-2804</v>
      </c>
      <c r="P44" s="112">
        <v>-2556</v>
      </c>
      <c r="Q44" s="112">
        <v>-2669</v>
      </c>
      <c r="R44" s="112">
        <v>-2999</v>
      </c>
      <c r="S44" s="112">
        <v>-3386</v>
      </c>
      <c r="T44" s="112">
        <v>-3334</v>
      </c>
      <c r="U44" s="112">
        <v>-4236</v>
      </c>
      <c r="V44" s="112">
        <v>-4800</v>
      </c>
      <c r="W44" s="112">
        <v>-8128</v>
      </c>
      <c r="X44" s="112">
        <v>-3872</v>
      </c>
      <c r="Y44" s="112">
        <v>-3804.0251530115356</v>
      </c>
      <c r="Z44" s="112">
        <v>-4148.823596319216</v>
      </c>
      <c r="AA44" s="112">
        <v>-5185.6348104548015</v>
      </c>
      <c r="AB44" s="112">
        <v>-6686.909467863131</v>
      </c>
      <c r="AC44" s="112">
        <v>-8062.343211145163</v>
      </c>
      <c r="AD44" s="112">
        <v>-9391.797667928047</v>
      </c>
      <c r="AE44" s="112">
        <v>-9087.528112840682</v>
      </c>
      <c r="AF44" s="112">
        <v>-8057.113181983664</v>
      </c>
      <c r="AG44" s="112">
        <v>-32101.403530802774</v>
      </c>
      <c r="AH44" s="112">
        <v>-11337.217690774678</v>
      </c>
      <c r="AI44" s="112">
        <v>-10913.890838660629</v>
      </c>
      <c r="AJ44" s="112">
        <v>-9666.458233181533</v>
      </c>
      <c r="AK44" s="112">
        <v>-8754.093905983074</v>
      </c>
      <c r="AL44" s="112">
        <v>-9438.608196342193</v>
      </c>
      <c r="AM44" s="112">
        <v>-8788.65222165463</v>
      </c>
      <c r="AN44" s="112">
        <v>-9128.401579271274</v>
      </c>
      <c r="AO44" s="112">
        <v>-8108.607258341021</v>
      </c>
      <c r="AP44" s="112">
        <v>-3519.2775304338634</v>
      </c>
    </row>
    <row r="45" spans="1:42" ht="11.25">
      <c r="A45" s="205" t="s">
        <v>216</v>
      </c>
      <c r="B45" s="15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>
        <v>-853</v>
      </c>
      <c r="Q45" s="112">
        <v>-775</v>
      </c>
      <c r="R45" s="112">
        <v>-715</v>
      </c>
      <c r="S45" s="112">
        <v>-644</v>
      </c>
      <c r="T45" s="112">
        <v>-579</v>
      </c>
      <c r="U45" s="112">
        <v>-1222</v>
      </c>
      <c r="V45" s="112">
        <v>-1796</v>
      </c>
      <c r="W45" s="112">
        <v>-1848</v>
      </c>
      <c r="X45" s="112">
        <v>-2343</v>
      </c>
      <c r="Y45" s="112">
        <v>-2432.76</v>
      </c>
      <c r="Z45" s="112">
        <v>-2758.9579877590772</v>
      </c>
      <c r="AA45" s="112">
        <v>-3490.25210005354</v>
      </c>
      <c r="AB45" s="112">
        <v>-4106.5213152171555</v>
      </c>
      <c r="AC45" s="112">
        <v>-4415.768557788106</v>
      </c>
      <c r="AD45" s="112">
        <v>-4495.221100896492</v>
      </c>
      <c r="AE45" s="112">
        <v>-4585.837287462248</v>
      </c>
      <c r="AF45" s="112">
        <v>-4143.595038434994</v>
      </c>
      <c r="AG45" s="112">
        <v>-3794.5859838763013</v>
      </c>
      <c r="AH45" s="112">
        <v>-4971.793701412079</v>
      </c>
      <c r="AI45" s="112">
        <v>-4731.776286150105</v>
      </c>
      <c r="AJ45" s="112">
        <v>-3858.6650190572545</v>
      </c>
      <c r="AK45" s="112">
        <v>-3085.348360402732</v>
      </c>
      <c r="AL45" s="112">
        <v>-3565.340847924086</v>
      </c>
      <c r="AM45" s="112">
        <v>-3005.3721922167106</v>
      </c>
      <c r="AN45" s="112">
        <v>-2302.2800144843404</v>
      </c>
      <c r="AO45" s="112">
        <v>-1572.0078881426382</v>
      </c>
      <c r="AP45" s="112">
        <v>-923.3193074753565</v>
      </c>
    </row>
    <row r="46" spans="1:42" ht="11.25">
      <c r="A46" s="205"/>
      <c r="B46" s="159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</row>
    <row r="47" spans="1:42" ht="11.25">
      <c r="A47" s="201" t="s">
        <v>74</v>
      </c>
      <c r="B47" s="161">
        <v>931</v>
      </c>
      <c r="C47" s="123">
        <v>3477</v>
      </c>
      <c r="D47" s="123">
        <v>360</v>
      </c>
      <c r="E47" s="123">
        <v>-4314</v>
      </c>
      <c r="F47" s="123">
        <v>-3438</v>
      </c>
      <c r="G47" s="123">
        <v>-3181</v>
      </c>
      <c r="H47" s="123">
        <v>-2226</v>
      </c>
      <c r="I47" s="123">
        <v>-427</v>
      </c>
      <c r="J47" s="123">
        <v>-1007</v>
      </c>
      <c r="K47" s="123">
        <v>3006</v>
      </c>
      <c r="L47" s="123">
        <v>-1024</v>
      </c>
      <c r="M47" s="123">
        <v>-905</v>
      </c>
      <c r="N47" s="123">
        <v>0</v>
      </c>
      <c r="O47" s="123">
        <v>-2804</v>
      </c>
      <c r="P47" s="123">
        <v>-1852</v>
      </c>
      <c r="Q47" s="123">
        <v>-1775</v>
      </c>
      <c r="R47" s="123">
        <v>-1716</v>
      </c>
      <c r="S47" s="123">
        <v>-1644</v>
      </c>
      <c r="T47" s="123">
        <v>-1534</v>
      </c>
      <c r="U47" s="123">
        <v>23687</v>
      </c>
      <c r="V47" s="162">
        <v>-2796</v>
      </c>
      <c r="W47" s="162">
        <v>13152</v>
      </c>
      <c r="X47" s="162">
        <v>-2343</v>
      </c>
      <c r="Y47" s="162">
        <v>567.2148469884642</v>
      </c>
      <c r="Z47" s="162">
        <v>5241.218415921707</v>
      </c>
      <c r="AA47" s="162">
        <v>3510.1130894916587</v>
      </c>
      <c r="AB47" s="162">
        <v>-1106.4307830802863</v>
      </c>
      <c r="AC47" s="162">
        <v>-4416.111768933269</v>
      </c>
      <c r="AD47" s="162">
        <v>-4495.01876882454</v>
      </c>
      <c r="AE47" s="162">
        <v>-11585.36540030293</v>
      </c>
      <c r="AF47" s="162">
        <v>-2143.708220418658</v>
      </c>
      <c r="AG47" s="162">
        <v>-5794.989514679075</v>
      </c>
      <c r="AH47" s="162">
        <v>-7972.011392186757</v>
      </c>
      <c r="AI47" s="162">
        <v>-15645.667124810734</v>
      </c>
      <c r="AJ47" s="162">
        <v>-13525.123252238787</v>
      </c>
      <c r="AK47" s="162">
        <v>2914.5577336141937</v>
      </c>
      <c r="AL47" s="162">
        <v>-10564.949044266279</v>
      </c>
      <c r="AM47" s="162">
        <v>-11794.024413871339</v>
      </c>
      <c r="AN47" s="162">
        <v>-11430.681593755615</v>
      </c>
      <c r="AO47" s="162">
        <v>-9680.61514648366</v>
      </c>
      <c r="AP47" s="162">
        <v>-4442.59683790922</v>
      </c>
    </row>
    <row r="48" spans="1:42" ht="11.25">
      <c r="A48" s="203"/>
      <c r="B48" s="159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</row>
    <row r="49" spans="1:42" ht="11.25">
      <c r="A49" s="201" t="s">
        <v>75</v>
      </c>
      <c r="B49" s="161">
        <v>-731</v>
      </c>
      <c r="C49" s="123">
        <v>4697</v>
      </c>
      <c r="D49" s="123">
        <v>-2221</v>
      </c>
      <c r="E49" s="123">
        <v>4533</v>
      </c>
      <c r="F49" s="123">
        <v>-548</v>
      </c>
      <c r="G49" s="123">
        <v>18</v>
      </c>
      <c r="H49" s="123">
        <v>-602</v>
      </c>
      <c r="I49" s="123">
        <v>6130</v>
      </c>
      <c r="J49" s="123">
        <v>-1166</v>
      </c>
      <c r="K49" s="123">
        <v>5296</v>
      </c>
      <c r="L49" s="123">
        <v>-925</v>
      </c>
      <c r="M49" s="123">
        <v>17</v>
      </c>
      <c r="N49" s="123">
        <v>6998</v>
      </c>
      <c r="O49" s="123">
        <v>5681</v>
      </c>
      <c r="P49" s="123">
        <v>10154</v>
      </c>
      <c r="Q49" s="123">
        <v>-6190</v>
      </c>
      <c r="R49" s="123">
        <v>3219</v>
      </c>
      <c r="S49" s="123">
        <v>322</v>
      </c>
      <c r="T49" s="123">
        <v>-14538</v>
      </c>
      <c r="U49" s="123">
        <v>22201</v>
      </c>
      <c r="V49" s="123">
        <v>-1823</v>
      </c>
      <c r="W49" s="123">
        <v>-22681</v>
      </c>
      <c r="X49" s="123">
        <v>-4402.184999999998</v>
      </c>
      <c r="Y49" s="123">
        <v>-2358.772316761554</v>
      </c>
      <c r="Z49" s="123">
        <v>422.5463062079143</v>
      </c>
      <c r="AA49" s="123">
        <v>747.591331501595</v>
      </c>
      <c r="AB49" s="123">
        <v>623.0149853795883</v>
      </c>
      <c r="AC49" s="123">
        <v>2849.3786325771716</v>
      </c>
      <c r="AD49" s="123">
        <v>-91.85362977086788</v>
      </c>
      <c r="AE49" s="123">
        <v>106.96644862858375</v>
      </c>
      <c r="AF49" s="123">
        <v>906.4696864946318</v>
      </c>
      <c r="AG49" s="123">
        <v>329.2441974667872</v>
      </c>
      <c r="AH49" s="123">
        <v>2712.379733561803</v>
      </c>
      <c r="AI49" s="123">
        <v>-156.74424423035452</v>
      </c>
      <c r="AJ49" s="123">
        <v>-291.620239550728</v>
      </c>
      <c r="AK49" s="123">
        <v>1385.7861011636046</v>
      </c>
      <c r="AL49" s="123">
        <v>1118.6921927002404</v>
      </c>
      <c r="AM49" s="123">
        <v>1273.7287714733466</v>
      </c>
      <c r="AN49" s="123">
        <v>3359.3885333664894</v>
      </c>
      <c r="AO49" s="123">
        <v>3765.003573816035</v>
      </c>
      <c r="AP49" s="123">
        <v>10041.377306459286</v>
      </c>
    </row>
    <row r="50" spans="1:42" ht="11.25">
      <c r="A50" s="203" t="s">
        <v>76</v>
      </c>
      <c r="B50" s="159">
        <v>9604</v>
      </c>
      <c r="C50" s="112">
        <v>8873</v>
      </c>
      <c r="D50" s="112">
        <v>13570</v>
      </c>
      <c r="E50" s="112">
        <v>11349</v>
      </c>
      <c r="F50" s="112">
        <v>15882</v>
      </c>
      <c r="G50" s="112">
        <v>15334</v>
      </c>
      <c r="H50" s="112">
        <v>15352</v>
      </c>
      <c r="I50" s="112">
        <v>14750</v>
      </c>
      <c r="J50" s="112">
        <v>20880</v>
      </c>
      <c r="K50" s="112">
        <v>19714</v>
      </c>
      <c r="L50" s="112">
        <v>25010</v>
      </c>
      <c r="M50" s="112">
        <v>24085</v>
      </c>
      <c r="N50" s="112">
        <v>24102</v>
      </c>
      <c r="O50" s="112">
        <v>31100</v>
      </c>
      <c r="P50" s="112">
        <v>36781</v>
      </c>
      <c r="Q50" s="112">
        <v>46935</v>
      </c>
      <c r="R50" s="112">
        <v>40745</v>
      </c>
      <c r="S50" s="112">
        <v>43964</v>
      </c>
      <c r="T50" s="112">
        <v>44286</v>
      </c>
      <c r="U50" s="112">
        <v>29748</v>
      </c>
      <c r="V50" s="112">
        <v>51949</v>
      </c>
      <c r="W50" s="112">
        <v>50126</v>
      </c>
      <c r="X50" s="112">
        <v>27445</v>
      </c>
      <c r="Y50" s="112">
        <v>23042.815000000002</v>
      </c>
      <c r="Z50" s="112">
        <v>20684.042683238447</v>
      </c>
      <c r="AA50" s="112">
        <v>21106.58898944636</v>
      </c>
      <c r="AB50" s="112">
        <v>21854.180320947955</v>
      </c>
      <c r="AC50" s="112">
        <v>22477.195306327543</v>
      </c>
      <c r="AD50" s="112">
        <v>25326.573938904716</v>
      </c>
      <c r="AE50" s="112">
        <v>25234.72030913385</v>
      </c>
      <c r="AF50" s="112">
        <v>25341.686757762433</v>
      </c>
      <c r="AG50" s="112">
        <v>26248.156444257063</v>
      </c>
      <c r="AH50" s="112">
        <v>26577.40064172385</v>
      </c>
      <c r="AI50" s="112">
        <v>29289.780375285653</v>
      </c>
      <c r="AJ50" s="112">
        <v>29133.036131055298</v>
      </c>
      <c r="AK50" s="112">
        <v>28841.41589150457</v>
      </c>
      <c r="AL50" s="112">
        <v>30227.201992668175</v>
      </c>
      <c r="AM50" s="112">
        <v>31345.894185368415</v>
      </c>
      <c r="AN50" s="112">
        <v>32619.622956841762</v>
      </c>
      <c r="AO50" s="112">
        <v>35979.01149020825</v>
      </c>
      <c r="AP50" s="112">
        <v>39744.01506402429</v>
      </c>
    </row>
    <row r="51" spans="1:42" ht="11.25">
      <c r="A51" s="203"/>
      <c r="B51" s="159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</row>
    <row r="52" spans="1:42" ht="11.25">
      <c r="A52" s="201" t="s">
        <v>77</v>
      </c>
      <c r="B52" s="161">
        <v>8873</v>
      </c>
      <c r="C52" s="162">
        <v>13570</v>
      </c>
      <c r="D52" s="162">
        <v>11349</v>
      </c>
      <c r="E52" s="162">
        <v>15882</v>
      </c>
      <c r="F52" s="162">
        <v>15334</v>
      </c>
      <c r="G52" s="162">
        <v>15352</v>
      </c>
      <c r="H52" s="162">
        <v>14750</v>
      </c>
      <c r="I52" s="162">
        <v>20880</v>
      </c>
      <c r="J52" s="162">
        <v>19714</v>
      </c>
      <c r="K52" s="162">
        <v>25010</v>
      </c>
      <c r="L52" s="162">
        <v>24085</v>
      </c>
      <c r="M52" s="162">
        <v>24102</v>
      </c>
      <c r="N52" s="162">
        <v>31100</v>
      </c>
      <c r="O52" s="162">
        <v>36781</v>
      </c>
      <c r="P52" s="162">
        <v>46935</v>
      </c>
      <c r="Q52" s="162">
        <v>40745</v>
      </c>
      <c r="R52" s="162">
        <v>43964</v>
      </c>
      <c r="S52" s="162">
        <v>44286</v>
      </c>
      <c r="T52" s="162">
        <v>29748</v>
      </c>
      <c r="U52" s="162">
        <v>51949</v>
      </c>
      <c r="V52" s="162">
        <v>50126</v>
      </c>
      <c r="W52" s="162">
        <v>27445</v>
      </c>
      <c r="X52" s="162">
        <v>23042.815000000002</v>
      </c>
      <c r="Y52" s="162">
        <v>20684.042683238447</v>
      </c>
      <c r="Z52" s="162">
        <v>21106.58898944636</v>
      </c>
      <c r="AA52" s="162">
        <v>21854.180320947955</v>
      </c>
      <c r="AB52" s="162">
        <v>22477.195306327543</v>
      </c>
      <c r="AC52" s="162">
        <v>25326.573938904716</v>
      </c>
      <c r="AD52" s="162">
        <v>25234.72030913385</v>
      </c>
      <c r="AE52" s="162">
        <v>25341.686757762433</v>
      </c>
      <c r="AF52" s="162">
        <v>26248.156444257063</v>
      </c>
      <c r="AG52" s="162">
        <v>26577.40064172385</v>
      </c>
      <c r="AH52" s="162">
        <v>29289.780375285653</v>
      </c>
      <c r="AI52" s="162">
        <v>29133.036131055298</v>
      </c>
      <c r="AJ52" s="162">
        <v>28841.41589150457</v>
      </c>
      <c r="AK52" s="162">
        <v>30227.201992668175</v>
      </c>
      <c r="AL52" s="162">
        <v>31345.894185368415</v>
      </c>
      <c r="AM52" s="162">
        <v>32619.622956841762</v>
      </c>
      <c r="AN52" s="162">
        <v>35979.01149020825</v>
      </c>
      <c r="AO52" s="162">
        <v>39744.01506402429</v>
      </c>
      <c r="AP52" s="162">
        <v>49785.392370483576</v>
      </c>
    </row>
    <row r="53" ht="11.25">
      <c r="AP53" s="92"/>
    </row>
    <row r="54" spans="1:42" ht="11.25">
      <c r="A54" s="154" t="s">
        <v>161</v>
      </c>
      <c r="B54" s="163">
        <v>8873</v>
      </c>
      <c r="C54" s="163">
        <v>13570</v>
      </c>
      <c r="D54" s="163">
        <v>11349</v>
      </c>
      <c r="E54" s="163">
        <v>15882</v>
      </c>
      <c r="F54" s="163">
        <v>15334</v>
      </c>
      <c r="G54" s="163">
        <v>15352</v>
      </c>
      <c r="H54" s="163">
        <v>14750</v>
      </c>
      <c r="I54" s="163">
        <v>20880</v>
      </c>
      <c r="J54" s="163">
        <v>19714</v>
      </c>
      <c r="K54" s="163">
        <v>25010</v>
      </c>
      <c r="L54" s="163">
        <v>24085</v>
      </c>
      <c r="M54" s="163">
        <v>24102</v>
      </c>
      <c r="N54" s="163">
        <v>31100</v>
      </c>
      <c r="O54" s="163">
        <v>36781</v>
      </c>
      <c r="P54" s="163">
        <v>46935</v>
      </c>
      <c r="Q54" s="163">
        <v>40745</v>
      </c>
      <c r="R54" s="163">
        <v>43964</v>
      </c>
      <c r="S54" s="163">
        <v>44286</v>
      </c>
      <c r="T54" s="163">
        <v>29748</v>
      </c>
      <c r="U54" s="163">
        <v>51949</v>
      </c>
      <c r="V54" s="163">
        <v>50126</v>
      </c>
      <c r="W54" s="163">
        <v>27445</v>
      </c>
      <c r="X54" s="163">
        <v>23042.815</v>
      </c>
      <c r="Y54" s="163">
        <v>20684.042683238466</v>
      </c>
      <c r="Z54" s="163">
        <v>21107.588989446336</v>
      </c>
      <c r="AA54" s="163">
        <v>21855.180320947922</v>
      </c>
      <c r="AB54" s="163">
        <v>22478.1953063275</v>
      </c>
      <c r="AC54" s="163">
        <v>25327.57393890466</v>
      </c>
      <c r="AD54" s="163">
        <v>25235.720309133805</v>
      </c>
      <c r="AE54" s="163">
        <v>25342.686757762414</v>
      </c>
      <c r="AF54" s="163">
        <v>26249.15644425707</v>
      </c>
      <c r="AG54" s="163">
        <v>26578.400641723794</v>
      </c>
      <c r="AH54" s="163">
        <v>29290.780375285598</v>
      </c>
      <c r="AI54" s="163">
        <v>29134.036131055265</v>
      </c>
      <c r="AJ54" s="163">
        <v>28842.4158915046</v>
      </c>
      <c r="AK54" s="163">
        <v>30228.201992668222</v>
      </c>
      <c r="AL54" s="163">
        <v>31346.894185368546</v>
      </c>
      <c r="AM54" s="163">
        <v>32620.622956841846</v>
      </c>
      <c r="AN54" s="163">
        <v>35980.01149020823</v>
      </c>
      <c r="AO54" s="163">
        <v>39745.01506402415</v>
      </c>
      <c r="AP54" s="163">
        <v>49786.39237048339</v>
      </c>
    </row>
    <row r="55" ht="11.25">
      <c r="AP55" s="92"/>
    </row>
    <row r="56" spans="2:42" ht="11.25">
      <c r="B56" s="106">
        <v>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-0.9999999999745341</v>
      </c>
      <c r="AA56" s="106">
        <v>-0.9999999999672582</v>
      </c>
      <c r="AB56" s="106">
        <v>-0.9999999999563443</v>
      </c>
      <c r="AC56" s="106">
        <v>-0.9999999999454303</v>
      </c>
      <c r="AD56" s="106">
        <v>-0.9999999999563443</v>
      </c>
      <c r="AE56" s="106">
        <v>-0.9999999999818101</v>
      </c>
      <c r="AF56" s="106">
        <v>-1.000000000007276</v>
      </c>
      <c r="AG56" s="106">
        <v>-0.9999999999454303</v>
      </c>
      <c r="AH56" s="106">
        <v>-0.9999999999454303</v>
      </c>
      <c r="AI56" s="106">
        <v>-0.9999999999672582</v>
      </c>
      <c r="AJ56" s="106">
        <v>-1.0000000000291038</v>
      </c>
      <c r="AK56" s="106">
        <v>-1.0000000000472937</v>
      </c>
      <c r="AL56" s="106">
        <v>-1.0000000001309672</v>
      </c>
      <c r="AM56" s="106">
        <v>-1.0000000000836735</v>
      </c>
      <c r="AN56" s="106">
        <v>-0.9999999999781721</v>
      </c>
      <c r="AO56" s="106">
        <v>-0.9999999998617568</v>
      </c>
      <c r="AP56" s="106">
        <v>-0.9999999998108251</v>
      </c>
    </row>
    <row r="57" ht="11.25">
      <c r="AP57" s="92"/>
    </row>
    <row r="58" spans="1:42" ht="11.25">
      <c r="A58" s="154" t="s">
        <v>170</v>
      </c>
      <c r="B58" s="92">
        <v>8873</v>
      </c>
      <c r="C58" s="92">
        <v>13705</v>
      </c>
      <c r="D58" s="92">
        <v>11349</v>
      </c>
      <c r="E58" s="92">
        <v>15882</v>
      </c>
      <c r="F58" s="92">
        <v>15334</v>
      </c>
      <c r="G58" s="92">
        <v>15352</v>
      </c>
      <c r="H58" s="92">
        <v>14750</v>
      </c>
      <c r="I58" s="92">
        <v>20880</v>
      </c>
      <c r="J58" s="92">
        <v>19714</v>
      </c>
      <c r="K58" s="92">
        <v>25010</v>
      </c>
      <c r="L58" s="92">
        <v>24085</v>
      </c>
      <c r="M58" s="92">
        <v>24102</v>
      </c>
      <c r="N58" s="92">
        <v>31100</v>
      </c>
      <c r="O58" s="92">
        <v>36781</v>
      </c>
      <c r="P58" s="92">
        <v>46935</v>
      </c>
      <c r="Q58" s="92">
        <v>40745</v>
      </c>
      <c r="R58" s="92">
        <v>43964</v>
      </c>
      <c r="S58" s="92">
        <v>44286</v>
      </c>
      <c r="T58" s="92">
        <v>29748</v>
      </c>
      <c r="U58" s="92">
        <v>51949</v>
      </c>
      <c r="V58" s="92">
        <v>50126</v>
      </c>
      <c r="W58" s="92">
        <v>27445</v>
      </c>
      <c r="X58" s="92">
        <v>23042.815</v>
      </c>
      <c r="Y58" s="92">
        <v>20684.042683238466</v>
      </c>
      <c r="Z58" s="92">
        <v>21107.588989446336</v>
      </c>
      <c r="AA58" s="92">
        <v>21855.180320947922</v>
      </c>
      <c r="AB58" s="92">
        <v>22478.1953063275</v>
      </c>
      <c r="AC58" s="92">
        <v>25327.57393890466</v>
      </c>
      <c r="AD58" s="92">
        <v>25235.720309133805</v>
      </c>
      <c r="AE58" s="92">
        <v>25342.686757762414</v>
      </c>
      <c r="AF58" s="92">
        <v>26249.15644425707</v>
      </c>
      <c r="AG58" s="92">
        <v>26578.400641723794</v>
      </c>
      <c r="AH58" s="92">
        <v>29290.780375285598</v>
      </c>
      <c r="AI58" s="92">
        <v>29134.036131055265</v>
      </c>
      <c r="AJ58" s="92">
        <v>28842.4158915046</v>
      </c>
      <c r="AK58" s="92">
        <v>30228.201992668222</v>
      </c>
      <c r="AL58" s="92">
        <v>31346.894185368546</v>
      </c>
      <c r="AM58" s="92">
        <v>32620.622956841846</v>
      </c>
      <c r="AN58" s="92">
        <v>35980.01149020823</v>
      </c>
      <c r="AO58" s="92">
        <v>39745.01506402415</v>
      </c>
      <c r="AP58" s="92">
        <v>49786.39237048339</v>
      </c>
    </row>
    <row r="59" ht="11.25">
      <c r="AP59" s="92"/>
    </row>
    <row r="60" spans="2:42" ht="11.25">
      <c r="B60" s="106">
        <v>0</v>
      </c>
      <c r="C60" s="106">
        <v>-135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-0.9999999999745341</v>
      </c>
      <c r="AA60" s="106">
        <v>-0.9999999999672582</v>
      </c>
      <c r="AB60" s="106">
        <v>-0.9999999999563443</v>
      </c>
      <c r="AC60" s="106">
        <v>-0.9999999999454303</v>
      </c>
      <c r="AD60" s="106">
        <v>-0.9999999999563443</v>
      </c>
      <c r="AE60" s="106">
        <v>-0.9999999999818101</v>
      </c>
      <c r="AF60" s="106">
        <v>-1.000000000007276</v>
      </c>
      <c r="AG60" s="106">
        <v>-0.9999999999454303</v>
      </c>
      <c r="AH60" s="106">
        <v>-0.9999999999454303</v>
      </c>
      <c r="AI60" s="106">
        <v>-0.9999999999672582</v>
      </c>
      <c r="AJ60" s="106">
        <v>-1.0000000000291038</v>
      </c>
      <c r="AK60" s="106">
        <v>-1.0000000000472937</v>
      </c>
      <c r="AL60" s="106">
        <v>-1.0000000001309672</v>
      </c>
      <c r="AM60" s="106">
        <v>-1.0000000000836735</v>
      </c>
      <c r="AN60" s="106">
        <v>-0.9999999999781721</v>
      </c>
      <c r="AO60" s="106">
        <v>-0.9999999998617568</v>
      </c>
      <c r="AP60" s="106">
        <v>-0.9999999998108251</v>
      </c>
    </row>
  </sheetData>
  <sheetProtection/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1"/>
  <headerFooter alignWithMargins="0">
    <oddFooter>&amp;L&amp;8&amp;Z&amp;F&amp;C&amp;8&amp;D - &amp;T&amp;R&amp;8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98"/>
  <sheetViews>
    <sheetView zoomScalePageLayoutView="0" workbookViewId="0" topLeftCell="A1">
      <pane xSplit="2" ySplit="6" topLeftCell="C18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.75"/>
  <cols>
    <col min="1" max="1" width="12.5" style="166" customWidth="1"/>
    <col min="2" max="2" width="12.5" style="164" customWidth="1"/>
    <col min="3" max="3" width="41.66015625" style="164" customWidth="1"/>
    <col min="4" max="4" width="30" style="164" customWidth="1"/>
    <col min="5" max="6" width="43.66015625" style="164" customWidth="1"/>
    <col min="7" max="7" width="12.5" style="164" customWidth="1"/>
    <col min="8" max="8" width="14.83203125" style="164" customWidth="1"/>
    <col min="9" max="10" width="12.5" style="166" customWidth="1"/>
    <col min="11" max="11" width="12.5" style="290" customWidth="1"/>
    <col min="12" max="12" width="58.16015625" style="164" customWidth="1"/>
    <col min="13" max="13" width="15.83203125" style="170" bestFit="1" customWidth="1"/>
    <col min="14" max="18" width="12.5" style="170" customWidth="1"/>
    <col min="19" max="19" width="14.5" style="164" bestFit="1" customWidth="1"/>
    <col min="20" max="20" width="30" style="164" customWidth="1"/>
    <col min="21" max="16384" width="9.33203125" style="164" customWidth="1"/>
  </cols>
  <sheetData>
    <row r="1" spans="1:19" ht="17.25">
      <c r="A1" s="306" t="s">
        <v>304</v>
      </c>
      <c r="B1" s="307"/>
      <c r="C1" s="306"/>
      <c r="D1" s="307"/>
      <c r="E1" s="306"/>
      <c r="F1" s="306"/>
      <c r="G1" s="307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2.75">
      <c r="A2" s="308" t="s">
        <v>305</v>
      </c>
      <c r="B2" s="307"/>
      <c r="C2" s="308"/>
      <c r="D2" s="307"/>
      <c r="E2" s="308"/>
      <c r="F2" s="308"/>
      <c r="G2" s="307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12.75">
      <c r="A3" s="249"/>
      <c r="B3" s="248"/>
      <c r="C3" s="249" t="s">
        <v>511</v>
      </c>
      <c r="D3" s="248"/>
      <c r="E3" s="249"/>
      <c r="F3" s="249" t="s">
        <v>512</v>
      </c>
      <c r="G3" s="248"/>
      <c r="H3" s="249"/>
      <c r="I3" s="249"/>
      <c r="J3" s="249"/>
      <c r="K3" s="291"/>
      <c r="L3" s="249"/>
      <c r="M3" s="249"/>
      <c r="N3" s="249"/>
      <c r="O3" s="249"/>
      <c r="P3" s="249"/>
      <c r="Q3" s="249"/>
      <c r="R3" s="249"/>
      <c r="S3" s="249"/>
    </row>
    <row r="4" spans="1:19" ht="12.75">
      <c r="A4" s="165" t="s">
        <v>306</v>
      </c>
      <c r="B4" s="166"/>
      <c r="C4" s="167">
        <f>Strategy!E17</f>
        <v>0.04</v>
      </c>
      <c r="D4" s="168" t="s">
        <v>209</v>
      </c>
      <c r="E4" s="167">
        <f>Strategy!E4</f>
        <v>0.025</v>
      </c>
      <c r="F4" s="167">
        <f>Strategy!E18</f>
        <v>0.04</v>
      </c>
      <c r="G4" s="166"/>
      <c r="H4" s="169"/>
      <c r="I4" s="169"/>
      <c r="J4" s="169"/>
      <c r="K4" s="291"/>
      <c r="L4" s="169"/>
      <c r="M4" s="169"/>
      <c r="N4" s="169"/>
      <c r="O4" s="169"/>
      <c r="P4" s="169"/>
      <c r="Q4" s="169"/>
      <c r="R4" s="169"/>
      <c r="S4" s="169"/>
    </row>
    <row r="6" spans="1:20" ht="11.25">
      <c r="A6" s="171" t="s">
        <v>165</v>
      </c>
      <c r="B6" s="171" t="s">
        <v>307</v>
      </c>
      <c r="C6" s="171" t="s">
        <v>308</v>
      </c>
      <c r="D6" s="171" t="s">
        <v>309</v>
      </c>
      <c r="E6" s="171" t="s">
        <v>310</v>
      </c>
      <c r="F6" s="171" t="s">
        <v>450</v>
      </c>
      <c r="G6" s="171" t="s">
        <v>311</v>
      </c>
      <c r="H6" s="171" t="s">
        <v>312</v>
      </c>
      <c r="I6" s="171" t="s">
        <v>313</v>
      </c>
      <c r="J6" s="171" t="s">
        <v>314</v>
      </c>
      <c r="K6" s="171" t="s">
        <v>450</v>
      </c>
      <c r="L6" s="171" t="s">
        <v>315</v>
      </c>
      <c r="M6" s="172" t="s">
        <v>316</v>
      </c>
      <c r="N6" s="172" t="s">
        <v>317</v>
      </c>
      <c r="O6" s="172" t="s">
        <v>449</v>
      </c>
      <c r="P6" s="172" t="s">
        <v>41</v>
      </c>
      <c r="Q6" s="172" t="s">
        <v>318</v>
      </c>
      <c r="R6" s="172" t="s">
        <v>319</v>
      </c>
      <c r="S6" s="173" t="s">
        <v>320</v>
      </c>
      <c r="T6" s="174" t="s">
        <v>321</v>
      </c>
    </row>
    <row r="7" spans="1:20" ht="11.25">
      <c r="A7" s="175" t="s">
        <v>265</v>
      </c>
      <c r="B7" s="175">
        <v>0</v>
      </c>
      <c r="C7" s="176" t="s">
        <v>355</v>
      </c>
      <c r="D7" s="176" t="s">
        <v>322</v>
      </c>
      <c r="E7" s="177" t="s">
        <v>323</v>
      </c>
      <c r="F7" s="177"/>
      <c r="G7" s="176" t="s">
        <v>324</v>
      </c>
      <c r="H7" s="178" t="s">
        <v>325</v>
      </c>
      <c r="I7" s="175" t="s">
        <v>231</v>
      </c>
      <c r="J7" s="179" t="s">
        <v>326</v>
      </c>
      <c r="K7" s="179"/>
      <c r="L7" s="176" t="s">
        <v>327</v>
      </c>
      <c r="M7" s="180">
        <v>150000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2">
        <f aca="true" t="shared" si="0" ref="S7:S70">M7-SUM(N7:R7)</f>
        <v>150000</v>
      </c>
      <c r="T7" s="183"/>
    </row>
    <row r="8" spans="1:20" ht="11.25">
      <c r="A8" s="175" t="s">
        <v>267</v>
      </c>
      <c r="B8" s="175">
        <v>1</v>
      </c>
      <c r="C8" s="176" t="s">
        <v>355</v>
      </c>
      <c r="D8" s="176" t="s">
        <v>322</v>
      </c>
      <c r="E8" s="177" t="s">
        <v>323</v>
      </c>
      <c r="F8" s="177"/>
      <c r="G8" s="176" t="s">
        <v>324</v>
      </c>
      <c r="H8" s="178" t="s">
        <v>325</v>
      </c>
      <c r="I8" s="175" t="s">
        <v>231</v>
      </c>
      <c r="J8" s="179" t="s">
        <v>231</v>
      </c>
      <c r="K8" s="179"/>
      <c r="L8" s="176" t="s">
        <v>327</v>
      </c>
      <c r="M8" s="180">
        <v>200000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2">
        <f t="shared" si="0"/>
        <v>200000</v>
      </c>
      <c r="T8" s="183"/>
    </row>
    <row r="9" spans="1:20" ht="11.25">
      <c r="A9" s="175" t="s">
        <v>268</v>
      </c>
      <c r="B9" s="175">
        <v>2</v>
      </c>
      <c r="C9" s="176" t="s">
        <v>355</v>
      </c>
      <c r="D9" s="176" t="s">
        <v>322</v>
      </c>
      <c r="E9" s="177" t="s">
        <v>323</v>
      </c>
      <c r="F9" s="177"/>
      <c r="G9" s="176" t="s">
        <v>324</v>
      </c>
      <c r="H9" s="178" t="s">
        <v>325</v>
      </c>
      <c r="I9" s="175" t="s">
        <v>231</v>
      </c>
      <c r="J9" s="179" t="s">
        <v>231</v>
      </c>
      <c r="K9" s="179"/>
      <c r="L9" s="176" t="s">
        <v>327</v>
      </c>
      <c r="M9" s="180">
        <f aca="true" t="shared" si="1" ref="M9:M27">IF(J9="Y",M8*(1+$C$4),IF(J9="I",M8*(1+$E$4),M8))</f>
        <v>208000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2">
        <f t="shared" si="0"/>
        <v>208000</v>
      </c>
      <c r="T9" s="183"/>
    </row>
    <row r="10" spans="1:20" ht="11.25">
      <c r="A10" s="175" t="s">
        <v>269</v>
      </c>
      <c r="B10" s="175">
        <v>3</v>
      </c>
      <c r="C10" s="176" t="s">
        <v>355</v>
      </c>
      <c r="D10" s="176" t="s">
        <v>322</v>
      </c>
      <c r="E10" s="177" t="s">
        <v>323</v>
      </c>
      <c r="F10" s="177"/>
      <c r="G10" s="176" t="s">
        <v>324</v>
      </c>
      <c r="H10" s="178" t="s">
        <v>325</v>
      </c>
      <c r="I10" s="175" t="s">
        <v>231</v>
      </c>
      <c r="J10" s="179" t="s">
        <v>231</v>
      </c>
      <c r="K10" s="179"/>
      <c r="L10" s="176" t="s">
        <v>327</v>
      </c>
      <c r="M10" s="180">
        <f t="shared" si="1"/>
        <v>216320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2">
        <f t="shared" si="0"/>
        <v>216320</v>
      </c>
      <c r="T10" s="183"/>
    </row>
    <row r="11" spans="1:20" ht="11.25">
      <c r="A11" s="175" t="s">
        <v>270</v>
      </c>
      <c r="B11" s="175">
        <v>4</v>
      </c>
      <c r="C11" s="176" t="s">
        <v>355</v>
      </c>
      <c r="D11" s="176" t="s">
        <v>322</v>
      </c>
      <c r="E11" s="177" t="s">
        <v>323</v>
      </c>
      <c r="F11" s="177"/>
      <c r="G11" s="176" t="s">
        <v>324</v>
      </c>
      <c r="H11" s="178" t="s">
        <v>325</v>
      </c>
      <c r="I11" s="175" t="s">
        <v>231</v>
      </c>
      <c r="J11" s="179" t="s">
        <v>231</v>
      </c>
      <c r="K11" s="179"/>
      <c r="L11" s="176" t="s">
        <v>327</v>
      </c>
      <c r="M11" s="180">
        <f t="shared" si="1"/>
        <v>224972.80000000002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2">
        <f t="shared" si="0"/>
        <v>224972.80000000002</v>
      </c>
      <c r="T11" s="183"/>
    </row>
    <row r="12" spans="1:20" ht="11.25">
      <c r="A12" s="175" t="s">
        <v>271</v>
      </c>
      <c r="B12" s="175">
        <v>5</v>
      </c>
      <c r="C12" s="176" t="s">
        <v>355</v>
      </c>
      <c r="D12" s="176" t="s">
        <v>322</v>
      </c>
      <c r="E12" s="177" t="s">
        <v>323</v>
      </c>
      <c r="F12" s="177"/>
      <c r="G12" s="176" t="s">
        <v>324</v>
      </c>
      <c r="H12" s="178" t="s">
        <v>325</v>
      </c>
      <c r="I12" s="175" t="s">
        <v>231</v>
      </c>
      <c r="J12" s="179" t="s">
        <v>231</v>
      </c>
      <c r="K12" s="179"/>
      <c r="L12" s="176" t="s">
        <v>327</v>
      </c>
      <c r="M12" s="180">
        <f t="shared" si="1"/>
        <v>233971.71200000003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2">
        <f t="shared" si="0"/>
        <v>233971.71200000003</v>
      </c>
      <c r="T12" s="183"/>
    </row>
    <row r="13" spans="1:20" ht="11.25">
      <c r="A13" s="175" t="s">
        <v>272</v>
      </c>
      <c r="B13" s="175">
        <v>6</v>
      </c>
      <c r="C13" s="176" t="s">
        <v>355</v>
      </c>
      <c r="D13" s="176" t="s">
        <v>322</v>
      </c>
      <c r="E13" s="177" t="s">
        <v>323</v>
      </c>
      <c r="F13" s="177"/>
      <c r="G13" s="176" t="s">
        <v>324</v>
      </c>
      <c r="H13" s="178" t="s">
        <v>325</v>
      </c>
      <c r="I13" s="175" t="s">
        <v>231</v>
      </c>
      <c r="J13" s="179" t="s">
        <v>231</v>
      </c>
      <c r="K13" s="179"/>
      <c r="L13" s="176" t="s">
        <v>327</v>
      </c>
      <c r="M13" s="180">
        <f t="shared" si="1"/>
        <v>243330.58048000003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2">
        <f t="shared" si="0"/>
        <v>243330.58048000003</v>
      </c>
      <c r="T13" s="183"/>
    </row>
    <row r="14" spans="1:20" ht="11.25">
      <c r="A14" s="175" t="s">
        <v>273</v>
      </c>
      <c r="B14" s="175">
        <v>7</v>
      </c>
      <c r="C14" s="176" t="s">
        <v>355</v>
      </c>
      <c r="D14" s="176" t="s">
        <v>322</v>
      </c>
      <c r="E14" s="177" t="s">
        <v>323</v>
      </c>
      <c r="F14" s="177"/>
      <c r="G14" s="176" t="s">
        <v>324</v>
      </c>
      <c r="H14" s="178" t="s">
        <v>325</v>
      </c>
      <c r="I14" s="175" t="s">
        <v>231</v>
      </c>
      <c r="J14" s="179" t="s">
        <v>231</v>
      </c>
      <c r="K14" s="179"/>
      <c r="L14" s="176" t="s">
        <v>327</v>
      </c>
      <c r="M14" s="180">
        <f t="shared" si="1"/>
        <v>253063.80369920004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2">
        <f t="shared" si="0"/>
        <v>253063.80369920004</v>
      </c>
      <c r="T14" s="183"/>
    </row>
    <row r="15" spans="1:20" ht="11.25">
      <c r="A15" s="175" t="s">
        <v>274</v>
      </c>
      <c r="B15" s="175">
        <v>8</v>
      </c>
      <c r="C15" s="176" t="s">
        <v>355</v>
      </c>
      <c r="D15" s="176" t="s">
        <v>322</v>
      </c>
      <c r="E15" s="177" t="s">
        <v>323</v>
      </c>
      <c r="F15" s="177"/>
      <c r="G15" s="176" t="s">
        <v>324</v>
      </c>
      <c r="H15" s="178" t="s">
        <v>325</v>
      </c>
      <c r="I15" s="175" t="s">
        <v>231</v>
      </c>
      <c r="J15" s="179" t="s">
        <v>231</v>
      </c>
      <c r="K15" s="179"/>
      <c r="L15" s="176" t="s">
        <v>327</v>
      </c>
      <c r="M15" s="180">
        <f t="shared" si="1"/>
        <v>263186.3558471681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2">
        <f t="shared" si="0"/>
        <v>263186.3558471681</v>
      </c>
      <c r="T15" s="183"/>
    </row>
    <row r="16" spans="1:20" ht="11.25">
      <c r="A16" s="175" t="s">
        <v>275</v>
      </c>
      <c r="B16" s="175">
        <v>9</v>
      </c>
      <c r="C16" s="176" t="s">
        <v>355</v>
      </c>
      <c r="D16" s="176" t="s">
        <v>322</v>
      </c>
      <c r="E16" s="177" t="s">
        <v>323</v>
      </c>
      <c r="F16" s="177"/>
      <c r="G16" s="176" t="s">
        <v>324</v>
      </c>
      <c r="H16" s="178" t="s">
        <v>325</v>
      </c>
      <c r="I16" s="175" t="s">
        <v>231</v>
      </c>
      <c r="J16" s="179" t="s">
        <v>231</v>
      </c>
      <c r="K16" s="179"/>
      <c r="L16" s="176" t="s">
        <v>327</v>
      </c>
      <c r="M16" s="180">
        <f t="shared" si="1"/>
        <v>273713.8100810548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2">
        <f t="shared" si="0"/>
        <v>273713.8100810548</v>
      </c>
      <c r="T16" s="183"/>
    </row>
    <row r="17" spans="1:20" ht="11.25">
      <c r="A17" s="175" t="s">
        <v>276</v>
      </c>
      <c r="B17" s="175">
        <v>10</v>
      </c>
      <c r="C17" s="176" t="s">
        <v>355</v>
      </c>
      <c r="D17" s="176" t="s">
        <v>322</v>
      </c>
      <c r="E17" s="177" t="s">
        <v>323</v>
      </c>
      <c r="F17" s="177"/>
      <c r="G17" s="176" t="s">
        <v>324</v>
      </c>
      <c r="H17" s="178" t="s">
        <v>325</v>
      </c>
      <c r="I17" s="175" t="s">
        <v>231</v>
      </c>
      <c r="J17" s="179" t="s">
        <v>231</v>
      </c>
      <c r="K17" s="179"/>
      <c r="L17" s="176" t="s">
        <v>327</v>
      </c>
      <c r="M17" s="180">
        <f t="shared" si="1"/>
        <v>284662.362484297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2">
        <f t="shared" si="0"/>
        <v>284662.362484297</v>
      </c>
      <c r="T17" s="183"/>
    </row>
    <row r="18" spans="1:20" ht="11.25">
      <c r="A18" s="175" t="s">
        <v>277</v>
      </c>
      <c r="B18" s="175">
        <v>11</v>
      </c>
      <c r="C18" s="176" t="s">
        <v>355</v>
      </c>
      <c r="D18" s="176" t="s">
        <v>322</v>
      </c>
      <c r="E18" s="177" t="s">
        <v>323</v>
      </c>
      <c r="F18" s="177"/>
      <c r="G18" s="176" t="s">
        <v>324</v>
      </c>
      <c r="H18" s="178" t="s">
        <v>325</v>
      </c>
      <c r="I18" s="175" t="s">
        <v>231</v>
      </c>
      <c r="J18" s="179" t="s">
        <v>231</v>
      </c>
      <c r="K18" s="179"/>
      <c r="L18" s="176" t="s">
        <v>327</v>
      </c>
      <c r="M18" s="180">
        <f t="shared" si="1"/>
        <v>296048.8569836689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2">
        <f t="shared" si="0"/>
        <v>296048.8569836689</v>
      </c>
      <c r="T18" s="183"/>
    </row>
    <row r="19" spans="1:20" ht="11.25">
      <c r="A19" s="175" t="s">
        <v>278</v>
      </c>
      <c r="B19" s="175">
        <v>12</v>
      </c>
      <c r="C19" s="176" t="s">
        <v>355</v>
      </c>
      <c r="D19" s="176" t="s">
        <v>322</v>
      </c>
      <c r="E19" s="177" t="s">
        <v>323</v>
      </c>
      <c r="F19" s="177"/>
      <c r="G19" s="176" t="s">
        <v>324</v>
      </c>
      <c r="H19" s="178" t="s">
        <v>325</v>
      </c>
      <c r="I19" s="175" t="s">
        <v>231</v>
      </c>
      <c r="J19" s="179" t="s">
        <v>231</v>
      </c>
      <c r="K19" s="179"/>
      <c r="L19" s="176" t="s">
        <v>327</v>
      </c>
      <c r="M19" s="180">
        <f t="shared" si="1"/>
        <v>307890.81126301567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2">
        <f t="shared" si="0"/>
        <v>307890.81126301567</v>
      </c>
      <c r="T19" s="183"/>
    </row>
    <row r="20" spans="1:20" ht="11.25">
      <c r="A20" s="175" t="s">
        <v>279</v>
      </c>
      <c r="B20" s="175">
        <v>13</v>
      </c>
      <c r="C20" s="176" t="s">
        <v>355</v>
      </c>
      <c r="D20" s="176" t="s">
        <v>322</v>
      </c>
      <c r="E20" s="177" t="s">
        <v>323</v>
      </c>
      <c r="F20" s="177"/>
      <c r="G20" s="176" t="s">
        <v>324</v>
      </c>
      <c r="H20" s="178" t="s">
        <v>325</v>
      </c>
      <c r="I20" s="175" t="s">
        <v>231</v>
      </c>
      <c r="J20" s="179" t="s">
        <v>231</v>
      </c>
      <c r="K20" s="179"/>
      <c r="L20" s="176" t="s">
        <v>327</v>
      </c>
      <c r="M20" s="180">
        <f t="shared" si="1"/>
        <v>320206.4437135363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2">
        <f t="shared" si="0"/>
        <v>320206.4437135363</v>
      </c>
      <c r="T20" s="183"/>
    </row>
    <row r="21" spans="1:20" ht="11.25">
      <c r="A21" s="175" t="s">
        <v>280</v>
      </c>
      <c r="B21" s="175">
        <v>14</v>
      </c>
      <c r="C21" s="176" t="s">
        <v>355</v>
      </c>
      <c r="D21" s="176" t="s">
        <v>322</v>
      </c>
      <c r="E21" s="177" t="s">
        <v>323</v>
      </c>
      <c r="F21" s="177"/>
      <c r="G21" s="176" t="s">
        <v>324</v>
      </c>
      <c r="H21" s="178" t="s">
        <v>325</v>
      </c>
      <c r="I21" s="175" t="s">
        <v>231</v>
      </c>
      <c r="J21" s="179" t="s">
        <v>231</v>
      </c>
      <c r="K21" s="179"/>
      <c r="L21" s="176" t="s">
        <v>327</v>
      </c>
      <c r="M21" s="180">
        <f t="shared" si="1"/>
        <v>333014.7014620778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2">
        <f t="shared" si="0"/>
        <v>333014.7014620778</v>
      </c>
      <c r="T21" s="183"/>
    </row>
    <row r="22" spans="1:20" ht="11.25">
      <c r="A22" s="175" t="s">
        <v>281</v>
      </c>
      <c r="B22" s="175">
        <v>15</v>
      </c>
      <c r="C22" s="176" t="s">
        <v>355</v>
      </c>
      <c r="D22" s="176" t="s">
        <v>322</v>
      </c>
      <c r="E22" s="177" t="s">
        <v>323</v>
      </c>
      <c r="F22" s="177"/>
      <c r="G22" s="176" t="s">
        <v>324</v>
      </c>
      <c r="H22" s="178" t="s">
        <v>325</v>
      </c>
      <c r="I22" s="175" t="s">
        <v>231</v>
      </c>
      <c r="J22" s="179" t="s">
        <v>231</v>
      </c>
      <c r="K22" s="179"/>
      <c r="L22" s="176" t="s">
        <v>327</v>
      </c>
      <c r="M22" s="180">
        <f t="shared" si="1"/>
        <v>346335.28952056094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2">
        <f t="shared" si="0"/>
        <v>346335.28952056094</v>
      </c>
      <c r="T22" s="183"/>
    </row>
    <row r="23" spans="1:20" ht="11.25">
      <c r="A23" s="175" t="s">
        <v>282</v>
      </c>
      <c r="B23" s="175">
        <v>16</v>
      </c>
      <c r="C23" s="176" t="s">
        <v>355</v>
      </c>
      <c r="D23" s="176" t="s">
        <v>322</v>
      </c>
      <c r="E23" s="177" t="s">
        <v>323</v>
      </c>
      <c r="F23" s="177"/>
      <c r="G23" s="176" t="s">
        <v>324</v>
      </c>
      <c r="H23" s="178" t="s">
        <v>325</v>
      </c>
      <c r="I23" s="175" t="s">
        <v>231</v>
      </c>
      <c r="J23" s="179" t="s">
        <v>231</v>
      </c>
      <c r="K23" s="179"/>
      <c r="L23" s="176" t="s">
        <v>327</v>
      </c>
      <c r="M23" s="180">
        <f t="shared" si="1"/>
        <v>360188.70110138337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2">
        <f t="shared" si="0"/>
        <v>360188.70110138337</v>
      </c>
      <c r="T23" s="183"/>
    </row>
    <row r="24" spans="1:20" ht="11.25">
      <c r="A24" s="175" t="s">
        <v>283</v>
      </c>
      <c r="B24" s="175">
        <v>17</v>
      </c>
      <c r="C24" s="176" t="s">
        <v>355</v>
      </c>
      <c r="D24" s="176" t="s">
        <v>322</v>
      </c>
      <c r="E24" s="177" t="s">
        <v>323</v>
      </c>
      <c r="F24" s="177"/>
      <c r="G24" s="176" t="s">
        <v>324</v>
      </c>
      <c r="H24" s="178" t="s">
        <v>325</v>
      </c>
      <c r="I24" s="175" t="s">
        <v>231</v>
      </c>
      <c r="J24" s="179" t="s">
        <v>231</v>
      </c>
      <c r="K24" s="179"/>
      <c r="L24" s="176" t="s">
        <v>327</v>
      </c>
      <c r="M24" s="180">
        <f t="shared" si="1"/>
        <v>374596.2491454387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2">
        <f t="shared" si="0"/>
        <v>374596.2491454387</v>
      </c>
      <c r="T24" s="183"/>
    </row>
    <row r="25" spans="1:20" ht="11.25">
      <c r="A25" s="175" t="s">
        <v>284</v>
      </c>
      <c r="B25" s="175">
        <v>18</v>
      </c>
      <c r="C25" s="176" t="s">
        <v>355</v>
      </c>
      <c r="D25" s="176" t="s">
        <v>322</v>
      </c>
      <c r="E25" s="177" t="s">
        <v>323</v>
      </c>
      <c r="F25" s="177"/>
      <c r="G25" s="176" t="s">
        <v>324</v>
      </c>
      <c r="H25" s="178" t="s">
        <v>325</v>
      </c>
      <c r="I25" s="175" t="s">
        <v>231</v>
      </c>
      <c r="J25" s="179" t="s">
        <v>231</v>
      </c>
      <c r="K25" s="179"/>
      <c r="L25" s="176" t="s">
        <v>327</v>
      </c>
      <c r="M25" s="180">
        <f t="shared" si="1"/>
        <v>389580.0991112563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2">
        <f t="shared" si="0"/>
        <v>389580.0991112563</v>
      </c>
      <c r="T25" s="183"/>
    </row>
    <row r="26" spans="1:20" ht="11.25">
      <c r="A26" s="175" t="s">
        <v>285</v>
      </c>
      <c r="B26" s="175">
        <v>19</v>
      </c>
      <c r="C26" s="176" t="s">
        <v>355</v>
      </c>
      <c r="D26" s="176" t="s">
        <v>322</v>
      </c>
      <c r="E26" s="177" t="s">
        <v>323</v>
      </c>
      <c r="F26" s="177"/>
      <c r="G26" s="176" t="s">
        <v>324</v>
      </c>
      <c r="H26" s="178" t="s">
        <v>325</v>
      </c>
      <c r="I26" s="175" t="s">
        <v>231</v>
      </c>
      <c r="J26" s="179" t="s">
        <v>231</v>
      </c>
      <c r="K26" s="179"/>
      <c r="L26" s="176" t="s">
        <v>327</v>
      </c>
      <c r="M26" s="180">
        <f t="shared" si="1"/>
        <v>405163.3030757066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2">
        <f t="shared" si="0"/>
        <v>405163.3030757066</v>
      </c>
      <c r="T26" s="183"/>
    </row>
    <row r="27" spans="1:20" ht="11.25">
      <c r="A27" s="175" t="s">
        <v>303</v>
      </c>
      <c r="B27" s="175">
        <v>20</v>
      </c>
      <c r="C27" s="176" t="s">
        <v>355</v>
      </c>
      <c r="D27" s="176" t="s">
        <v>322</v>
      </c>
      <c r="E27" s="177" t="s">
        <v>323</v>
      </c>
      <c r="F27" s="177"/>
      <c r="G27" s="176" t="s">
        <v>324</v>
      </c>
      <c r="H27" s="178" t="s">
        <v>325</v>
      </c>
      <c r="I27" s="175" t="s">
        <v>231</v>
      </c>
      <c r="J27" s="179" t="s">
        <v>231</v>
      </c>
      <c r="K27" s="179"/>
      <c r="L27" s="176" t="s">
        <v>327</v>
      </c>
      <c r="M27" s="180">
        <f t="shared" si="1"/>
        <v>421369.8351987349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2">
        <f t="shared" si="0"/>
        <v>421369.8351987349</v>
      </c>
      <c r="T27" s="183"/>
    </row>
    <row r="28" spans="1:20" ht="11.25">
      <c r="A28" s="175" t="s">
        <v>265</v>
      </c>
      <c r="B28" s="175">
        <v>0</v>
      </c>
      <c r="C28" s="176" t="s">
        <v>469</v>
      </c>
      <c r="D28" s="176" t="s">
        <v>328</v>
      </c>
      <c r="E28" s="176" t="s">
        <v>329</v>
      </c>
      <c r="F28" s="176"/>
      <c r="G28" s="176" t="s">
        <v>324</v>
      </c>
      <c r="H28" s="178" t="s">
        <v>325</v>
      </c>
      <c r="I28" s="175" t="s">
        <v>231</v>
      </c>
      <c r="J28" s="179" t="s">
        <v>326</v>
      </c>
      <c r="K28" s="179"/>
      <c r="L28" s="176" t="s">
        <v>330</v>
      </c>
      <c r="M28" s="180">
        <v>54080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2">
        <f t="shared" si="0"/>
        <v>54080</v>
      </c>
      <c r="T28" s="183"/>
    </row>
    <row r="29" spans="1:20" ht="11.25">
      <c r="A29" s="175" t="s">
        <v>267</v>
      </c>
      <c r="B29" s="175">
        <v>1</v>
      </c>
      <c r="C29" s="176" t="s">
        <v>469</v>
      </c>
      <c r="D29" s="176" t="s">
        <v>328</v>
      </c>
      <c r="E29" s="176" t="s">
        <v>329</v>
      </c>
      <c r="F29" s="176"/>
      <c r="G29" s="176" t="s">
        <v>324</v>
      </c>
      <c r="H29" s="178" t="s">
        <v>325</v>
      </c>
      <c r="I29" s="175" t="s">
        <v>231</v>
      </c>
      <c r="J29" s="179" t="s">
        <v>231</v>
      </c>
      <c r="K29" s="179"/>
      <c r="L29" s="176" t="s">
        <v>330</v>
      </c>
      <c r="M29" s="180">
        <v>60000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2">
        <f t="shared" si="0"/>
        <v>60000</v>
      </c>
      <c r="T29" s="183"/>
    </row>
    <row r="30" spans="1:20" ht="11.25">
      <c r="A30" s="175" t="s">
        <v>268</v>
      </c>
      <c r="B30" s="175">
        <v>2</v>
      </c>
      <c r="C30" s="176" t="s">
        <v>469</v>
      </c>
      <c r="D30" s="176" t="s">
        <v>328</v>
      </c>
      <c r="E30" s="176" t="s">
        <v>329</v>
      </c>
      <c r="F30" s="176"/>
      <c r="G30" s="176" t="s">
        <v>324</v>
      </c>
      <c r="H30" s="178" t="s">
        <v>325</v>
      </c>
      <c r="I30" s="175" t="s">
        <v>231</v>
      </c>
      <c r="J30" s="179" t="s">
        <v>231</v>
      </c>
      <c r="K30" s="179"/>
      <c r="L30" s="176" t="s">
        <v>330</v>
      </c>
      <c r="M30" s="180">
        <f aca="true" t="shared" si="2" ref="M30:M48">IF(J30="Y",M29*(1+$C$4),IF(J30="I",M29*(1+$E$4),M29))</f>
        <v>62400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2">
        <f t="shared" si="0"/>
        <v>62400</v>
      </c>
      <c r="T30" s="183"/>
    </row>
    <row r="31" spans="1:20" ht="11.25">
      <c r="A31" s="175" t="s">
        <v>269</v>
      </c>
      <c r="B31" s="175">
        <v>3</v>
      </c>
      <c r="C31" s="176" t="s">
        <v>469</v>
      </c>
      <c r="D31" s="176" t="s">
        <v>328</v>
      </c>
      <c r="E31" s="176" t="s">
        <v>329</v>
      </c>
      <c r="F31" s="176"/>
      <c r="G31" s="176" t="s">
        <v>324</v>
      </c>
      <c r="H31" s="178" t="s">
        <v>325</v>
      </c>
      <c r="I31" s="175" t="s">
        <v>231</v>
      </c>
      <c r="J31" s="179" t="s">
        <v>231</v>
      </c>
      <c r="K31" s="179"/>
      <c r="L31" s="176" t="s">
        <v>330</v>
      </c>
      <c r="M31" s="180">
        <f t="shared" si="2"/>
        <v>64896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2">
        <f t="shared" si="0"/>
        <v>64896</v>
      </c>
      <c r="T31" s="183"/>
    </row>
    <row r="32" spans="1:20" ht="11.25">
      <c r="A32" s="175" t="s">
        <v>270</v>
      </c>
      <c r="B32" s="175">
        <v>4</v>
      </c>
      <c r="C32" s="176" t="s">
        <v>469</v>
      </c>
      <c r="D32" s="176" t="s">
        <v>328</v>
      </c>
      <c r="E32" s="176" t="s">
        <v>329</v>
      </c>
      <c r="F32" s="176"/>
      <c r="G32" s="176" t="s">
        <v>324</v>
      </c>
      <c r="H32" s="178" t="s">
        <v>325</v>
      </c>
      <c r="I32" s="175" t="s">
        <v>231</v>
      </c>
      <c r="J32" s="179" t="s">
        <v>231</v>
      </c>
      <c r="K32" s="179"/>
      <c r="L32" s="176" t="s">
        <v>330</v>
      </c>
      <c r="M32" s="180">
        <f t="shared" si="2"/>
        <v>67491.84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2">
        <f t="shared" si="0"/>
        <v>67491.84</v>
      </c>
      <c r="T32" s="183"/>
    </row>
    <row r="33" spans="1:20" ht="11.25">
      <c r="A33" s="175" t="s">
        <v>271</v>
      </c>
      <c r="B33" s="175">
        <v>5</v>
      </c>
      <c r="C33" s="176" t="s">
        <v>469</v>
      </c>
      <c r="D33" s="176" t="s">
        <v>328</v>
      </c>
      <c r="E33" s="176" t="s">
        <v>329</v>
      </c>
      <c r="F33" s="176"/>
      <c r="G33" s="176" t="s">
        <v>324</v>
      </c>
      <c r="H33" s="178" t="s">
        <v>325</v>
      </c>
      <c r="I33" s="175" t="s">
        <v>231</v>
      </c>
      <c r="J33" s="179" t="s">
        <v>231</v>
      </c>
      <c r="K33" s="179"/>
      <c r="L33" s="176" t="s">
        <v>330</v>
      </c>
      <c r="M33" s="180">
        <f t="shared" si="2"/>
        <v>70191.5136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2">
        <f t="shared" si="0"/>
        <v>70191.5136</v>
      </c>
      <c r="T33" s="183"/>
    </row>
    <row r="34" spans="1:20" ht="11.25">
      <c r="A34" s="175" t="s">
        <v>272</v>
      </c>
      <c r="B34" s="175">
        <v>6</v>
      </c>
      <c r="C34" s="176" t="s">
        <v>469</v>
      </c>
      <c r="D34" s="176" t="s">
        <v>328</v>
      </c>
      <c r="E34" s="176" t="s">
        <v>329</v>
      </c>
      <c r="F34" s="176"/>
      <c r="G34" s="176" t="s">
        <v>324</v>
      </c>
      <c r="H34" s="178" t="s">
        <v>325</v>
      </c>
      <c r="I34" s="175" t="s">
        <v>231</v>
      </c>
      <c r="J34" s="179" t="s">
        <v>231</v>
      </c>
      <c r="K34" s="179"/>
      <c r="L34" s="176" t="s">
        <v>330</v>
      </c>
      <c r="M34" s="180">
        <f t="shared" si="2"/>
        <v>72999.174144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2">
        <f t="shared" si="0"/>
        <v>72999.174144</v>
      </c>
      <c r="T34" s="183"/>
    </row>
    <row r="35" spans="1:20" ht="11.25">
      <c r="A35" s="175" t="s">
        <v>273</v>
      </c>
      <c r="B35" s="175">
        <v>7</v>
      </c>
      <c r="C35" s="176" t="s">
        <v>469</v>
      </c>
      <c r="D35" s="176" t="s">
        <v>328</v>
      </c>
      <c r="E35" s="176" t="s">
        <v>329</v>
      </c>
      <c r="F35" s="176"/>
      <c r="G35" s="176" t="s">
        <v>324</v>
      </c>
      <c r="H35" s="178" t="s">
        <v>325</v>
      </c>
      <c r="I35" s="175" t="s">
        <v>231</v>
      </c>
      <c r="J35" s="179" t="s">
        <v>231</v>
      </c>
      <c r="K35" s="179"/>
      <c r="L35" s="176" t="s">
        <v>330</v>
      </c>
      <c r="M35" s="180">
        <f t="shared" si="2"/>
        <v>75919.14110976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2">
        <f t="shared" si="0"/>
        <v>75919.14110976</v>
      </c>
      <c r="T35" s="183"/>
    </row>
    <row r="36" spans="1:20" ht="11.25">
      <c r="A36" s="175" t="s">
        <v>274</v>
      </c>
      <c r="B36" s="175">
        <v>8</v>
      </c>
      <c r="C36" s="176" t="s">
        <v>469</v>
      </c>
      <c r="D36" s="176" t="s">
        <v>328</v>
      </c>
      <c r="E36" s="176" t="s">
        <v>329</v>
      </c>
      <c r="F36" s="176"/>
      <c r="G36" s="176" t="s">
        <v>324</v>
      </c>
      <c r="H36" s="178" t="s">
        <v>325</v>
      </c>
      <c r="I36" s="175" t="s">
        <v>231</v>
      </c>
      <c r="J36" s="179" t="s">
        <v>231</v>
      </c>
      <c r="K36" s="179"/>
      <c r="L36" s="176" t="s">
        <v>330</v>
      </c>
      <c r="M36" s="180">
        <f t="shared" si="2"/>
        <v>78955.9067541504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2">
        <f t="shared" si="0"/>
        <v>78955.9067541504</v>
      </c>
      <c r="T36" s="183"/>
    </row>
    <row r="37" spans="1:20" ht="11.25">
      <c r="A37" s="175" t="s">
        <v>275</v>
      </c>
      <c r="B37" s="175">
        <v>9</v>
      </c>
      <c r="C37" s="176" t="s">
        <v>469</v>
      </c>
      <c r="D37" s="176" t="s">
        <v>328</v>
      </c>
      <c r="E37" s="176" t="s">
        <v>329</v>
      </c>
      <c r="F37" s="176"/>
      <c r="G37" s="176" t="s">
        <v>324</v>
      </c>
      <c r="H37" s="178" t="s">
        <v>325</v>
      </c>
      <c r="I37" s="175" t="s">
        <v>231</v>
      </c>
      <c r="J37" s="179" t="s">
        <v>231</v>
      </c>
      <c r="K37" s="179"/>
      <c r="L37" s="176" t="s">
        <v>330</v>
      </c>
      <c r="M37" s="180">
        <f t="shared" si="2"/>
        <v>82114.14302431642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2">
        <f t="shared" si="0"/>
        <v>82114.14302431642</v>
      </c>
      <c r="T37" s="183"/>
    </row>
    <row r="38" spans="1:20" ht="11.25">
      <c r="A38" s="175" t="s">
        <v>276</v>
      </c>
      <c r="B38" s="175">
        <v>10</v>
      </c>
      <c r="C38" s="176" t="s">
        <v>469</v>
      </c>
      <c r="D38" s="176" t="s">
        <v>328</v>
      </c>
      <c r="E38" s="176" t="s">
        <v>329</v>
      </c>
      <c r="F38" s="176"/>
      <c r="G38" s="176" t="s">
        <v>324</v>
      </c>
      <c r="H38" s="178" t="s">
        <v>325</v>
      </c>
      <c r="I38" s="175" t="s">
        <v>231</v>
      </c>
      <c r="J38" s="179" t="s">
        <v>231</v>
      </c>
      <c r="K38" s="179"/>
      <c r="L38" s="176" t="s">
        <v>330</v>
      </c>
      <c r="M38" s="180">
        <f t="shared" si="2"/>
        <v>85398.70874528908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2">
        <f t="shared" si="0"/>
        <v>85398.70874528908</v>
      </c>
      <c r="T38" s="183"/>
    </row>
    <row r="39" spans="1:20" ht="11.25">
      <c r="A39" s="175" t="s">
        <v>277</v>
      </c>
      <c r="B39" s="175">
        <v>11</v>
      </c>
      <c r="C39" s="176" t="s">
        <v>469</v>
      </c>
      <c r="D39" s="176" t="s">
        <v>328</v>
      </c>
      <c r="E39" s="176" t="s">
        <v>329</v>
      </c>
      <c r="F39" s="176"/>
      <c r="G39" s="176" t="s">
        <v>324</v>
      </c>
      <c r="H39" s="178" t="s">
        <v>325</v>
      </c>
      <c r="I39" s="175" t="s">
        <v>231</v>
      </c>
      <c r="J39" s="179" t="s">
        <v>231</v>
      </c>
      <c r="K39" s="179"/>
      <c r="L39" s="176" t="s">
        <v>330</v>
      </c>
      <c r="M39" s="180">
        <f t="shared" si="2"/>
        <v>88814.65709510066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2">
        <f t="shared" si="0"/>
        <v>88814.65709510066</v>
      </c>
      <c r="T39" s="183"/>
    </row>
    <row r="40" spans="1:20" ht="11.25">
      <c r="A40" s="175" t="s">
        <v>278</v>
      </c>
      <c r="B40" s="175">
        <v>12</v>
      </c>
      <c r="C40" s="176" t="s">
        <v>469</v>
      </c>
      <c r="D40" s="176" t="s">
        <v>328</v>
      </c>
      <c r="E40" s="176" t="s">
        <v>329</v>
      </c>
      <c r="F40" s="176"/>
      <c r="G40" s="176" t="s">
        <v>324</v>
      </c>
      <c r="H40" s="178" t="s">
        <v>325</v>
      </c>
      <c r="I40" s="175" t="s">
        <v>231</v>
      </c>
      <c r="J40" s="179" t="s">
        <v>231</v>
      </c>
      <c r="K40" s="179"/>
      <c r="L40" s="176" t="s">
        <v>330</v>
      </c>
      <c r="M40" s="180">
        <f t="shared" si="2"/>
        <v>92367.24337890469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2">
        <f t="shared" si="0"/>
        <v>92367.24337890469</v>
      </c>
      <c r="T40" s="183"/>
    </row>
    <row r="41" spans="1:20" ht="11.25">
      <c r="A41" s="175" t="s">
        <v>279</v>
      </c>
      <c r="B41" s="175">
        <v>13</v>
      </c>
      <c r="C41" s="176" t="s">
        <v>469</v>
      </c>
      <c r="D41" s="176" t="s">
        <v>328</v>
      </c>
      <c r="E41" s="176" t="s">
        <v>329</v>
      </c>
      <c r="F41" s="176"/>
      <c r="G41" s="176" t="s">
        <v>324</v>
      </c>
      <c r="H41" s="178" t="s">
        <v>325</v>
      </c>
      <c r="I41" s="175" t="s">
        <v>231</v>
      </c>
      <c r="J41" s="179" t="s">
        <v>231</v>
      </c>
      <c r="K41" s="179"/>
      <c r="L41" s="176" t="s">
        <v>330</v>
      </c>
      <c r="M41" s="180">
        <f t="shared" si="2"/>
        <v>96061.93311406088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2">
        <f t="shared" si="0"/>
        <v>96061.93311406088</v>
      </c>
      <c r="T41" s="183"/>
    </row>
    <row r="42" spans="1:20" ht="11.25">
      <c r="A42" s="175" t="s">
        <v>280</v>
      </c>
      <c r="B42" s="175">
        <v>14</v>
      </c>
      <c r="C42" s="176" t="s">
        <v>469</v>
      </c>
      <c r="D42" s="176" t="s">
        <v>328</v>
      </c>
      <c r="E42" s="176" t="s">
        <v>329</v>
      </c>
      <c r="F42" s="176"/>
      <c r="G42" s="176" t="s">
        <v>324</v>
      </c>
      <c r="H42" s="178" t="s">
        <v>325</v>
      </c>
      <c r="I42" s="175" t="s">
        <v>231</v>
      </c>
      <c r="J42" s="179" t="s">
        <v>231</v>
      </c>
      <c r="K42" s="179"/>
      <c r="L42" s="176" t="s">
        <v>330</v>
      </c>
      <c r="M42" s="180">
        <f t="shared" si="2"/>
        <v>99904.41043862332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2">
        <f t="shared" si="0"/>
        <v>99904.41043862332</v>
      </c>
      <c r="T42" s="183"/>
    </row>
    <row r="43" spans="1:20" ht="11.25">
      <c r="A43" s="175" t="s">
        <v>281</v>
      </c>
      <c r="B43" s="175">
        <v>15</v>
      </c>
      <c r="C43" s="176" t="s">
        <v>469</v>
      </c>
      <c r="D43" s="176" t="s">
        <v>328</v>
      </c>
      <c r="E43" s="176" t="s">
        <v>329</v>
      </c>
      <c r="F43" s="176"/>
      <c r="G43" s="176" t="s">
        <v>324</v>
      </c>
      <c r="H43" s="178" t="s">
        <v>325</v>
      </c>
      <c r="I43" s="175" t="s">
        <v>231</v>
      </c>
      <c r="J43" s="179" t="s">
        <v>231</v>
      </c>
      <c r="K43" s="179"/>
      <c r="L43" s="176" t="s">
        <v>330</v>
      </c>
      <c r="M43" s="180">
        <f t="shared" si="2"/>
        <v>103900.58685616826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2">
        <f t="shared" si="0"/>
        <v>103900.58685616826</v>
      </c>
      <c r="T43" s="183"/>
    </row>
    <row r="44" spans="1:20" ht="11.25">
      <c r="A44" s="175" t="s">
        <v>282</v>
      </c>
      <c r="B44" s="175">
        <v>16</v>
      </c>
      <c r="C44" s="176" t="s">
        <v>469</v>
      </c>
      <c r="D44" s="176" t="s">
        <v>328</v>
      </c>
      <c r="E44" s="176" t="s">
        <v>329</v>
      </c>
      <c r="F44" s="176"/>
      <c r="G44" s="176" t="s">
        <v>324</v>
      </c>
      <c r="H44" s="178" t="s">
        <v>325</v>
      </c>
      <c r="I44" s="175" t="s">
        <v>231</v>
      </c>
      <c r="J44" s="179" t="s">
        <v>231</v>
      </c>
      <c r="K44" s="179"/>
      <c r="L44" s="176" t="s">
        <v>330</v>
      </c>
      <c r="M44" s="180">
        <f t="shared" si="2"/>
        <v>108056.61033041499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2">
        <f t="shared" si="0"/>
        <v>108056.61033041499</v>
      </c>
      <c r="T44" s="183"/>
    </row>
    <row r="45" spans="1:20" ht="11.25">
      <c r="A45" s="175" t="s">
        <v>283</v>
      </c>
      <c r="B45" s="175">
        <v>17</v>
      </c>
      <c r="C45" s="176" t="s">
        <v>469</v>
      </c>
      <c r="D45" s="176" t="s">
        <v>328</v>
      </c>
      <c r="E45" s="176" t="s">
        <v>329</v>
      </c>
      <c r="F45" s="176"/>
      <c r="G45" s="176" t="s">
        <v>324</v>
      </c>
      <c r="H45" s="178" t="s">
        <v>325</v>
      </c>
      <c r="I45" s="175" t="s">
        <v>231</v>
      </c>
      <c r="J45" s="179" t="s">
        <v>231</v>
      </c>
      <c r="K45" s="179"/>
      <c r="L45" s="176" t="s">
        <v>330</v>
      </c>
      <c r="M45" s="180">
        <f t="shared" si="2"/>
        <v>112378.87474363159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2">
        <f t="shared" si="0"/>
        <v>112378.87474363159</v>
      </c>
      <c r="T45" s="184"/>
    </row>
    <row r="46" spans="1:20" ht="11.25">
      <c r="A46" s="175" t="s">
        <v>284</v>
      </c>
      <c r="B46" s="175">
        <v>18</v>
      </c>
      <c r="C46" s="176" t="s">
        <v>469</v>
      </c>
      <c r="D46" s="176" t="s">
        <v>328</v>
      </c>
      <c r="E46" s="176" t="s">
        <v>329</v>
      </c>
      <c r="F46" s="176"/>
      <c r="G46" s="176" t="s">
        <v>324</v>
      </c>
      <c r="H46" s="178" t="s">
        <v>325</v>
      </c>
      <c r="I46" s="175" t="s">
        <v>231</v>
      </c>
      <c r="J46" s="179" t="s">
        <v>231</v>
      </c>
      <c r="K46" s="179"/>
      <c r="L46" s="176" t="s">
        <v>330</v>
      </c>
      <c r="M46" s="180">
        <f t="shared" si="2"/>
        <v>116874.02973337685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2">
        <f t="shared" si="0"/>
        <v>116874.02973337685</v>
      </c>
      <c r="T46" s="183"/>
    </row>
    <row r="47" spans="1:20" ht="11.25">
      <c r="A47" s="175" t="s">
        <v>285</v>
      </c>
      <c r="B47" s="175">
        <v>19</v>
      </c>
      <c r="C47" s="176" t="s">
        <v>469</v>
      </c>
      <c r="D47" s="176" t="s">
        <v>328</v>
      </c>
      <c r="E47" s="176" t="s">
        <v>329</v>
      </c>
      <c r="F47" s="176"/>
      <c r="G47" s="176" t="s">
        <v>324</v>
      </c>
      <c r="H47" s="178" t="s">
        <v>325</v>
      </c>
      <c r="I47" s="175" t="s">
        <v>231</v>
      </c>
      <c r="J47" s="179" t="s">
        <v>231</v>
      </c>
      <c r="K47" s="179"/>
      <c r="L47" s="176" t="s">
        <v>330</v>
      </c>
      <c r="M47" s="180">
        <f t="shared" si="2"/>
        <v>121548.99092271194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2">
        <f t="shared" si="0"/>
        <v>121548.99092271194</v>
      </c>
      <c r="T47" s="183"/>
    </row>
    <row r="48" spans="1:20" ht="11.25">
      <c r="A48" s="175" t="s">
        <v>303</v>
      </c>
      <c r="B48" s="175">
        <v>20</v>
      </c>
      <c r="C48" s="176" t="s">
        <v>469</v>
      </c>
      <c r="D48" s="176" t="s">
        <v>328</v>
      </c>
      <c r="E48" s="176" t="s">
        <v>329</v>
      </c>
      <c r="F48" s="176"/>
      <c r="G48" s="176" t="s">
        <v>324</v>
      </c>
      <c r="H48" s="178" t="s">
        <v>325</v>
      </c>
      <c r="I48" s="175" t="s">
        <v>231</v>
      </c>
      <c r="J48" s="179" t="s">
        <v>231</v>
      </c>
      <c r="K48" s="179"/>
      <c r="L48" s="176" t="s">
        <v>330</v>
      </c>
      <c r="M48" s="180">
        <f t="shared" si="2"/>
        <v>126410.95055962041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2">
        <f t="shared" si="0"/>
        <v>126410.95055962041</v>
      </c>
      <c r="T48" s="183"/>
    </row>
    <row r="49" spans="1:20" ht="11.25">
      <c r="A49" s="175" t="s">
        <v>265</v>
      </c>
      <c r="B49" s="175">
        <v>0</v>
      </c>
      <c r="C49" s="176" t="s">
        <v>469</v>
      </c>
      <c r="D49" s="176" t="s">
        <v>331</v>
      </c>
      <c r="E49" s="176" t="s">
        <v>332</v>
      </c>
      <c r="F49" s="176"/>
      <c r="G49" s="176" t="s">
        <v>324</v>
      </c>
      <c r="H49" s="178" t="s">
        <v>325</v>
      </c>
      <c r="I49" s="175" t="s">
        <v>231</v>
      </c>
      <c r="J49" s="179" t="s">
        <v>326</v>
      </c>
      <c r="K49" s="179"/>
      <c r="L49" s="176" t="s">
        <v>333</v>
      </c>
      <c r="M49" s="180">
        <v>360000</v>
      </c>
      <c r="N49" s="181">
        <v>0</v>
      </c>
      <c r="O49" s="181">
        <v>0</v>
      </c>
      <c r="P49" s="181">
        <v>0</v>
      </c>
      <c r="Q49" s="181">
        <v>0</v>
      </c>
      <c r="R49" s="181">
        <v>0</v>
      </c>
      <c r="S49" s="182">
        <f t="shared" si="0"/>
        <v>360000</v>
      </c>
      <c r="T49" s="183"/>
    </row>
    <row r="50" spans="1:20" ht="11.25">
      <c r="A50" s="175" t="s">
        <v>267</v>
      </c>
      <c r="B50" s="175">
        <v>1</v>
      </c>
      <c r="C50" s="176" t="s">
        <v>469</v>
      </c>
      <c r="D50" s="176" t="s">
        <v>331</v>
      </c>
      <c r="E50" s="176" t="s">
        <v>332</v>
      </c>
      <c r="F50" s="176"/>
      <c r="G50" s="176" t="s">
        <v>324</v>
      </c>
      <c r="H50" s="178" t="s">
        <v>325</v>
      </c>
      <c r="I50" s="175" t="s">
        <v>231</v>
      </c>
      <c r="J50" s="179" t="s">
        <v>231</v>
      </c>
      <c r="K50" s="179"/>
      <c r="L50" s="176" t="s">
        <v>333</v>
      </c>
      <c r="M50" s="180">
        <f>IF(J50="Y",M49*(1+$F$4),IF(J50="I",M49*(1+$E$4),M49))-254400</f>
        <v>120000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2">
        <f t="shared" si="0"/>
        <v>120000</v>
      </c>
      <c r="T50" s="185"/>
    </row>
    <row r="51" spans="1:20" ht="11.25">
      <c r="A51" s="175" t="s">
        <v>268</v>
      </c>
      <c r="B51" s="175">
        <v>2</v>
      </c>
      <c r="C51" s="176" t="s">
        <v>469</v>
      </c>
      <c r="D51" s="176" t="s">
        <v>331</v>
      </c>
      <c r="E51" s="176" t="s">
        <v>332</v>
      </c>
      <c r="F51" s="176"/>
      <c r="G51" s="176" t="s">
        <v>324</v>
      </c>
      <c r="H51" s="178" t="s">
        <v>325</v>
      </c>
      <c r="I51" s="175" t="s">
        <v>231</v>
      </c>
      <c r="J51" s="179" t="s">
        <v>231</v>
      </c>
      <c r="K51" s="179"/>
      <c r="L51" s="176" t="s">
        <v>333</v>
      </c>
      <c r="M51" s="180">
        <f aca="true" t="shared" si="3" ref="M51:M69">IF(J51="Y",M50*(1+$C$4),IF(J51="I",M50*(1+$E$4),M50))</f>
        <v>124800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2">
        <f t="shared" si="0"/>
        <v>124800</v>
      </c>
      <c r="T51" s="185"/>
    </row>
    <row r="52" spans="1:20" ht="11.25">
      <c r="A52" s="175" t="s">
        <v>269</v>
      </c>
      <c r="B52" s="175">
        <v>3</v>
      </c>
      <c r="C52" s="176" t="s">
        <v>469</v>
      </c>
      <c r="D52" s="176" t="s">
        <v>331</v>
      </c>
      <c r="E52" s="176" t="s">
        <v>332</v>
      </c>
      <c r="F52" s="176"/>
      <c r="G52" s="176" t="s">
        <v>324</v>
      </c>
      <c r="H52" s="178" t="s">
        <v>325</v>
      </c>
      <c r="I52" s="175" t="s">
        <v>231</v>
      </c>
      <c r="J52" s="179" t="s">
        <v>231</v>
      </c>
      <c r="K52" s="179"/>
      <c r="L52" s="176" t="s">
        <v>333</v>
      </c>
      <c r="M52" s="180">
        <f t="shared" si="3"/>
        <v>129792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2">
        <f t="shared" si="0"/>
        <v>129792</v>
      </c>
      <c r="T52" s="183"/>
    </row>
    <row r="53" spans="1:20" ht="11.25">
      <c r="A53" s="175" t="s">
        <v>270</v>
      </c>
      <c r="B53" s="175">
        <v>4</v>
      </c>
      <c r="C53" s="176" t="s">
        <v>469</v>
      </c>
      <c r="D53" s="176" t="s">
        <v>331</v>
      </c>
      <c r="E53" s="176" t="s">
        <v>332</v>
      </c>
      <c r="F53" s="176"/>
      <c r="G53" s="176" t="s">
        <v>324</v>
      </c>
      <c r="H53" s="178" t="s">
        <v>325</v>
      </c>
      <c r="I53" s="175" t="s">
        <v>231</v>
      </c>
      <c r="J53" s="179" t="s">
        <v>231</v>
      </c>
      <c r="K53" s="179"/>
      <c r="L53" s="176" t="s">
        <v>333</v>
      </c>
      <c r="M53" s="180">
        <f t="shared" si="3"/>
        <v>134983.68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2">
        <f t="shared" si="0"/>
        <v>134983.68</v>
      </c>
      <c r="T53" s="183"/>
    </row>
    <row r="54" spans="1:20" ht="11.25">
      <c r="A54" s="175" t="s">
        <v>271</v>
      </c>
      <c r="B54" s="175">
        <v>5</v>
      </c>
      <c r="C54" s="176" t="s">
        <v>469</v>
      </c>
      <c r="D54" s="176" t="s">
        <v>331</v>
      </c>
      <c r="E54" s="176" t="s">
        <v>332</v>
      </c>
      <c r="F54" s="176"/>
      <c r="G54" s="176" t="s">
        <v>324</v>
      </c>
      <c r="H54" s="178" t="s">
        <v>325</v>
      </c>
      <c r="I54" s="175" t="s">
        <v>231</v>
      </c>
      <c r="J54" s="179" t="s">
        <v>231</v>
      </c>
      <c r="K54" s="179"/>
      <c r="L54" s="176" t="s">
        <v>333</v>
      </c>
      <c r="M54" s="180">
        <f t="shared" si="3"/>
        <v>140383.0272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2">
        <f t="shared" si="0"/>
        <v>140383.0272</v>
      </c>
      <c r="T54" s="183"/>
    </row>
    <row r="55" spans="1:20" ht="11.25">
      <c r="A55" s="175" t="s">
        <v>272</v>
      </c>
      <c r="B55" s="175">
        <v>6</v>
      </c>
      <c r="C55" s="176" t="s">
        <v>469</v>
      </c>
      <c r="D55" s="176" t="s">
        <v>331</v>
      </c>
      <c r="E55" s="176" t="s">
        <v>332</v>
      </c>
      <c r="F55" s="176"/>
      <c r="G55" s="176" t="s">
        <v>324</v>
      </c>
      <c r="H55" s="178" t="s">
        <v>325</v>
      </c>
      <c r="I55" s="175" t="s">
        <v>231</v>
      </c>
      <c r="J55" s="179" t="s">
        <v>231</v>
      </c>
      <c r="K55" s="179"/>
      <c r="L55" s="176" t="s">
        <v>333</v>
      </c>
      <c r="M55" s="180">
        <f t="shared" si="3"/>
        <v>145998.348288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2">
        <f t="shared" si="0"/>
        <v>145998.348288</v>
      </c>
      <c r="T55" s="183"/>
    </row>
    <row r="56" spans="1:20" ht="11.25">
      <c r="A56" s="175" t="s">
        <v>273</v>
      </c>
      <c r="B56" s="175">
        <v>7</v>
      </c>
      <c r="C56" s="176" t="s">
        <v>469</v>
      </c>
      <c r="D56" s="176" t="s">
        <v>331</v>
      </c>
      <c r="E56" s="176" t="s">
        <v>332</v>
      </c>
      <c r="F56" s="176"/>
      <c r="G56" s="176" t="s">
        <v>324</v>
      </c>
      <c r="H56" s="178" t="s">
        <v>325</v>
      </c>
      <c r="I56" s="175" t="s">
        <v>231</v>
      </c>
      <c r="J56" s="179" t="s">
        <v>231</v>
      </c>
      <c r="K56" s="179"/>
      <c r="L56" s="176" t="s">
        <v>333</v>
      </c>
      <c r="M56" s="180">
        <f t="shared" si="3"/>
        <v>151838.28221952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2">
        <f t="shared" si="0"/>
        <v>151838.28221952</v>
      </c>
      <c r="T56" s="183"/>
    </row>
    <row r="57" spans="1:20" ht="11.25">
      <c r="A57" s="175" t="s">
        <v>274</v>
      </c>
      <c r="B57" s="175">
        <v>8</v>
      </c>
      <c r="C57" s="176" t="s">
        <v>469</v>
      </c>
      <c r="D57" s="176" t="s">
        <v>331</v>
      </c>
      <c r="E57" s="176" t="s">
        <v>332</v>
      </c>
      <c r="F57" s="176"/>
      <c r="G57" s="176" t="s">
        <v>324</v>
      </c>
      <c r="H57" s="178" t="s">
        <v>325</v>
      </c>
      <c r="I57" s="175" t="s">
        <v>231</v>
      </c>
      <c r="J57" s="179" t="s">
        <v>231</v>
      </c>
      <c r="K57" s="179"/>
      <c r="L57" s="176" t="s">
        <v>333</v>
      </c>
      <c r="M57" s="180">
        <f t="shared" si="3"/>
        <v>157911.8135083008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2">
        <f t="shared" si="0"/>
        <v>157911.8135083008</v>
      </c>
      <c r="T57" s="183"/>
    </row>
    <row r="58" spans="1:20" ht="11.25">
      <c r="A58" s="175" t="s">
        <v>275</v>
      </c>
      <c r="B58" s="175">
        <v>9</v>
      </c>
      <c r="C58" s="176" t="s">
        <v>469</v>
      </c>
      <c r="D58" s="176" t="s">
        <v>331</v>
      </c>
      <c r="E58" s="176" t="s">
        <v>332</v>
      </c>
      <c r="F58" s="176"/>
      <c r="G58" s="176" t="s">
        <v>324</v>
      </c>
      <c r="H58" s="178" t="s">
        <v>325</v>
      </c>
      <c r="I58" s="175" t="s">
        <v>231</v>
      </c>
      <c r="J58" s="179" t="s">
        <v>231</v>
      </c>
      <c r="K58" s="179"/>
      <c r="L58" s="176" t="s">
        <v>333</v>
      </c>
      <c r="M58" s="180">
        <f t="shared" si="3"/>
        <v>164228.28604863284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2">
        <f t="shared" si="0"/>
        <v>164228.28604863284</v>
      </c>
      <c r="T58" s="183"/>
    </row>
    <row r="59" spans="1:20" ht="11.25">
      <c r="A59" s="175" t="s">
        <v>276</v>
      </c>
      <c r="B59" s="175">
        <v>10</v>
      </c>
      <c r="C59" s="176" t="s">
        <v>469</v>
      </c>
      <c r="D59" s="176" t="s">
        <v>331</v>
      </c>
      <c r="E59" s="176" t="s">
        <v>332</v>
      </c>
      <c r="F59" s="176"/>
      <c r="G59" s="176" t="s">
        <v>324</v>
      </c>
      <c r="H59" s="178" t="s">
        <v>325</v>
      </c>
      <c r="I59" s="175" t="s">
        <v>231</v>
      </c>
      <c r="J59" s="179" t="s">
        <v>231</v>
      </c>
      <c r="K59" s="179"/>
      <c r="L59" s="176" t="s">
        <v>333</v>
      </c>
      <c r="M59" s="180">
        <f t="shared" si="3"/>
        <v>170797.41749057817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2">
        <f t="shared" si="0"/>
        <v>170797.41749057817</v>
      </c>
      <c r="T59" s="183"/>
    </row>
    <row r="60" spans="1:20" ht="11.25">
      <c r="A60" s="175" t="s">
        <v>277</v>
      </c>
      <c r="B60" s="175">
        <v>11</v>
      </c>
      <c r="C60" s="176" t="s">
        <v>469</v>
      </c>
      <c r="D60" s="176" t="s">
        <v>331</v>
      </c>
      <c r="E60" s="176" t="s">
        <v>332</v>
      </c>
      <c r="F60" s="176"/>
      <c r="G60" s="176" t="s">
        <v>324</v>
      </c>
      <c r="H60" s="178" t="s">
        <v>325</v>
      </c>
      <c r="I60" s="175" t="s">
        <v>231</v>
      </c>
      <c r="J60" s="179" t="s">
        <v>231</v>
      </c>
      <c r="K60" s="179"/>
      <c r="L60" s="176" t="s">
        <v>333</v>
      </c>
      <c r="M60" s="180">
        <f t="shared" si="3"/>
        <v>177629.31419020132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2">
        <f t="shared" si="0"/>
        <v>177629.31419020132</v>
      </c>
      <c r="T60" s="183"/>
    </row>
    <row r="61" spans="1:20" ht="11.25">
      <c r="A61" s="175" t="s">
        <v>278</v>
      </c>
      <c r="B61" s="175">
        <v>12</v>
      </c>
      <c r="C61" s="176" t="s">
        <v>469</v>
      </c>
      <c r="D61" s="176" t="s">
        <v>331</v>
      </c>
      <c r="E61" s="176" t="s">
        <v>332</v>
      </c>
      <c r="F61" s="176"/>
      <c r="G61" s="176" t="s">
        <v>324</v>
      </c>
      <c r="H61" s="178" t="s">
        <v>325</v>
      </c>
      <c r="I61" s="175" t="s">
        <v>231</v>
      </c>
      <c r="J61" s="179" t="s">
        <v>231</v>
      </c>
      <c r="K61" s="179"/>
      <c r="L61" s="176" t="s">
        <v>333</v>
      </c>
      <c r="M61" s="180">
        <f t="shared" si="3"/>
        <v>184734.48675780938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2">
        <f t="shared" si="0"/>
        <v>184734.48675780938</v>
      </c>
      <c r="T61" s="183"/>
    </row>
    <row r="62" spans="1:20" ht="11.25">
      <c r="A62" s="175" t="s">
        <v>279</v>
      </c>
      <c r="B62" s="175">
        <v>13</v>
      </c>
      <c r="C62" s="176" t="s">
        <v>469</v>
      </c>
      <c r="D62" s="176" t="s">
        <v>331</v>
      </c>
      <c r="E62" s="176" t="s">
        <v>332</v>
      </c>
      <c r="F62" s="176"/>
      <c r="G62" s="176" t="s">
        <v>324</v>
      </c>
      <c r="H62" s="178" t="s">
        <v>325</v>
      </c>
      <c r="I62" s="175" t="s">
        <v>231</v>
      </c>
      <c r="J62" s="179" t="s">
        <v>231</v>
      </c>
      <c r="K62" s="179"/>
      <c r="L62" s="176" t="s">
        <v>333</v>
      </c>
      <c r="M62" s="180">
        <f t="shared" si="3"/>
        <v>192123.86622812177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2">
        <f t="shared" si="0"/>
        <v>192123.86622812177</v>
      </c>
      <c r="T62" s="183"/>
    </row>
    <row r="63" spans="1:20" ht="11.25">
      <c r="A63" s="175" t="s">
        <v>280</v>
      </c>
      <c r="B63" s="175">
        <v>14</v>
      </c>
      <c r="C63" s="176" t="s">
        <v>469</v>
      </c>
      <c r="D63" s="176" t="s">
        <v>331</v>
      </c>
      <c r="E63" s="176" t="s">
        <v>332</v>
      </c>
      <c r="F63" s="176"/>
      <c r="G63" s="176" t="s">
        <v>324</v>
      </c>
      <c r="H63" s="178" t="s">
        <v>325</v>
      </c>
      <c r="I63" s="175" t="s">
        <v>231</v>
      </c>
      <c r="J63" s="179" t="s">
        <v>231</v>
      </c>
      <c r="K63" s="179"/>
      <c r="L63" s="176" t="s">
        <v>333</v>
      </c>
      <c r="M63" s="180">
        <f t="shared" si="3"/>
        <v>199808.82087724665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2">
        <f t="shared" si="0"/>
        <v>199808.82087724665</v>
      </c>
      <c r="T63" s="183"/>
    </row>
    <row r="64" spans="1:20" ht="11.25">
      <c r="A64" s="175" t="s">
        <v>281</v>
      </c>
      <c r="B64" s="175">
        <v>15</v>
      </c>
      <c r="C64" s="176" t="s">
        <v>469</v>
      </c>
      <c r="D64" s="176" t="s">
        <v>331</v>
      </c>
      <c r="E64" s="176" t="s">
        <v>332</v>
      </c>
      <c r="F64" s="176"/>
      <c r="G64" s="176" t="s">
        <v>324</v>
      </c>
      <c r="H64" s="178" t="s">
        <v>325</v>
      </c>
      <c r="I64" s="175" t="s">
        <v>231</v>
      </c>
      <c r="J64" s="179" t="s">
        <v>231</v>
      </c>
      <c r="K64" s="179"/>
      <c r="L64" s="176" t="s">
        <v>333</v>
      </c>
      <c r="M64" s="180">
        <f t="shared" si="3"/>
        <v>207801.17371233652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2">
        <f t="shared" si="0"/>
        <v>207801.17371233652</v>
      </c>
      <c r="T64" s="183"/>
    </row>
    <row r="65" spans="1:20" ht="11.25">
      <c r="A65" s="175" t="s">
        <v>282</v>
      </c>
      <c r="B65" s="175">
        <v>16</v>
      </c>
      <c r="C65" s="176" t="s">
        <v>469</v>
      </c>
      <c r="D65" s="176" t="s">
        <v>331</v>
      </c>
      <c r="E65" s="176" t="s">
        <v>332</v>
      </c>
      <c r="F65" s="176"/>
      <c r="G65" s="176" t="s">
        <v>324</v>
      </c>
      <c r="H65" s="178" t="s">
        <v>325</v>
      </c>
      <c r="I65" s="175" t="s">
        <v>231</v>
      </c>
      <c r="J65" s="179" t="s">
        <v>231</v>
      </c>
      <c r="K65" s="179"/>
      <c r="L65" s="176" t="s">
        <v>333</v>
      </c>
      <c r="M65" s="180">
        <f t="shared" si="3"/>
        <v>216113.22066082997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2">
        <f t="shared" si="0"/>
        <v>216113.22066082997</v>
      </c>
      <c r="T65" s="183"/>
    </row>
    <row r="66" spans="1:20" ht="11.25">
      <c r="A66" s="175" t="s">
        <v>283</v>
      </c>
      <c r="B66" s="175">
        <v>17</v>
      </c>
      <c r="C66" s="176" t="s">
        <v>469</v>
      </c>
      <c r="D66" s="176" t="s">
        <v>331</v>
      </c>
      <c r="E66" s="176" t="s">
        <v>332</v>
      </c>
      <c r="F66" s="176"/>
      <c r="G66" s="176" t="s">
        <v>324</v>
      </c>
      <c r="H66" s="178" t="s">
        <v>325</v>
      </c>
      <c r="I66" s="175" t="s">
        <v>231</v>
      </c>
      <c r="J66" s="179" t="s">
        <v>231</v>
      </c>
      <c r="K66" s="179"/>
      <c r="L66" s="176" t="s">
        <v>333</v>
      </c>
      <c r="M66" s="180">
        <f t="shared" si="3"/>
        <v>224757.74948726318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2">
        <f t="shared" si="0"/>
        <v>224757.74948726318</v>
      </c>
      <c r="T66" s="183"/>
    </row>
    <row r="67" spans="1:20" ht="11.25">
      <c r="A67" s="175" t="s">
        <v>284</v>
      </c>
      <c r="B67" s="175">
        <v>18</v>
      </c>
      <c r="C67" s="176" t="s">
        <v>469</v>
      </c>
      <c r="D67" s="176" t="s">
        <v>331</v>
      </c>
      <c r="E67" s="176" t="s">
        <v>332</v>
      </c>
      <c r="F67" s="176"/>
      <c r="G67" s="176" t="s">
        <v>324</v>
      </c>
      <c r="H67" s="178" t="s">
        <v>325</v>
      </c>
      <c r="I67" s="175" t="s">
        <v>231</v>
      </c>
      <c r="J67" s="179" t="s">
        <v>231</v>
      </c>
      <c r="K67" s="179"/>
      <c r="L67" s="176" t="s">
        <v>333</v>
      </c>
      <c r="M67" s="180">
        <f t="shared" si="3"/>
        <v>233748.0594667537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2">
        <f t="shared" si="0"/>
        <v>233748.0594667537</v>
      </c>
      <c r="T67" s="183"/>
    </row>
    <row r="68" spans="1:20" ht="11.25">
      <c r="A68" s="175" t="s">
        <v>285</v>
      </c>
      <c r="B68" s="175">
        <v>19</v>
      </c>
      <c r="C68" s="176" t="s">
        <v>469</v>
      </c>
      <c r="D68" s="176" t="s">
        <v>331</v>
      </c>
      <c r="E68" s="176" t="s">
        <v>332</v>
      </c>
      <c r="F68" s="176"/>
      <c r="G68" s="176" t="s">
        <v>324</v>
      </c>
      <c r="H68" s="178" t="s">
        <v>325</v>
      </c>
      <c r="I68" s="175" t="s">
        <v>231</v>
      </c>
      <c r="J68" s="179" t="s">
        <v>231</v>
      </c>
      <c r="K68" s="179"/>
      <c r="L68" s="176" t="s">
        <v>333</v>
      </c>
      <c r="M68" s="180">
        <f t="shared" si="3"/>
        <v>243097.98184542387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2">
        <f t="shared" si="0"/>
        <v>243097.98184542387</v>
      </c>
      <c r="T68" s="183"/>
    </row>
    <row r="69" spans="1:20" ht="11.25">
      <c r="A69" s="175" t="s">
        <v>303</v>
      </c>
      <c r="B69" s="175">
        <v>20</v>
      </c>
      <c r="C69" s="176" t="s">
        <v>469</v>
      </c>
      <c r="D69" s="176" t="s">
        <v>331</v>
      </c>
      <c r="E69" s="176" t="s">
        <v>332</v>
      </c>
      <c r="F69" s="176"/>
      <c r="G69" s="176" t="s">
        <v>324</v>
      </c>
      <c r="H69" s="178" t="s">
        <v>325</v>
      </c>
      <c r="I69" s="175" t="s">
        <v>231</v>
      </c>
      <c r="J69" s="179" t="s">
        <v>231</v>
      </c>
      <c r="K69" s="179"/>
      <c r="L69" s="176" t="s">
        <v>333</v>
      </c>
      <c r="M69" s="180">
        <f t="shared" si="3"/>
        <v>252821.90111924082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2">
        <f t="shared" si="0"/>
        <v>252821.90111924082</v>
      </c>
      <c r="T69" s="183"/>
    </row>
    <row r="70" spans="1:20" ht="11.25">
      <c r="A70" s="175" t="s">
        <v>265</v>
      </c>
      <c r="B70" s="175">
        <v>0</v>
      </c>
      <c r="C70" s="176" t="s">
        <v>469</v>
      </c>
      <c r="D70" s="176" t="s">
        <v>331</v>
      </c>
      <c r="E70" s="176" t="s">
        <v>332</v>
      </c>
      <c r="F70" s="176"/>
      <c r="G70" s="176" t="s">
        <v>360</v>
      </c>
      <c r="H70" s="178" t="s">
        <v>325</v>
      </c>
      <c r="I70" s="175" t="s">
        <v>231</v>
      </c>
      <c r="J70" s="179" t="s">
        <v>326</v>
      </c>
      <c r="K70" s="179"/>
      <c r="L70" s="176" t="s">
        <v>335</v>
      </c>
      <c r="M70" s="180">
        <v>248768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2">
        <f t="shared" si="0"/>
        <v>248768</v>
      </c>
      <c r="T70" s="183"/>
    </row>
    <row r="71" spans="1:20" ht="11.25">
      <c r="A71" s="175" t="s">
        <v>267</v>
      </c>
      <c r="B71" s="175">
        <v>1</v>
      </c>
      <c r="C71" s="176" t="s">
        <v>469</v>
      </c>
      <c r="D71" s="176" t="s">
        <v>331</v>
      </c>
      <c r="E71" s="176" t="s">
        <v>332</v>
      </c>
      <c r="F71" s="176"/>
      <c r="G71" s="176" t="s">
        <v>360</v>
      </c>
      <c r="H71" s="178" t="s">
        <v>325</v>
      </c>
      <c r="I71" s="175" t="s">
        <v>231</v>
      </c>
      <c r="J71" s="179" t="s">
        <v>231</v>
      </c>
      <c r="K71" s="179"/>
      <c r="L71" s="176" t="s">
        <v>335</v>
      </c>
      <c r="M71" s="180">
        <v>260000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2">
        <f aca="true" t="shared" si="4" ref="S71:S134">M71-SUM(N71:R71)</f>
        <v>260000</v>
      </c>
      <c r="T71" s="183"/>
    </row>
    <row r="72" spans="1:20" ht="11.25">
      <c r="A72" s="175" t="s">
        <v>268</v>
      </c>
      <c r="B72" s="175">
        <v>2</v>
      </c>
      <c r="C72" s="176" t="s">
        <v>469</v>
      </c>
      <c r="D72" s="176" t="s">
        <v>331</v>
      </c>
      <c r="E72" s="176" t="s">
        <v>332</v>
      </c>
      <c r="F72" s="176"/>
      <c r="G72" s="176" t="s">
        <v>360</v>
      </c>
      <c r="H72" s="178" t="s">
        <v>325</v>
      </c>
      <c r="I72" s="175" t="s">
        <v>231</v>
      </c>
      <c r="J72" s="179" t="s">
        <v>231</v>
      </c>
      <c r="K72" s="179"/>
      <c r="L72" s="176" t="s">
        <v>335</v>
      </c>
      <c r="M72" s="180">
        <f aca="true" t="shared" si="5" ref="M72:M90">IF(J72="Y",M71*(1+$C$4),IF(J72="I",M71*(1+$E$4),M71))</f>
        <v>270400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2">
        <f t="shared" si="4"/>
        <v>270400</v>
      </c>
      <c r="T72" s="183"/>
    </row>
    <row r="73" spans="1:20" ht="11.25">
      <c r="A73" s="175" t="s">
        <v>269</v>
      </c>
      <c r="B73" s="175">
        <v>3</v>
      </c>
      <c r="C73" s="176" t="s">
        <v>469</v>
      </c>
      <c r="D73" s="176" t="s">
        <v>331</v>
      </c>
      <c r="E73" s="176" t="s">
        <v>332</v>
      </c>
      <c r="F73" s="176"/>
      <c r="G73" s="176" t="s">
        <v>360</v>
      </c>
      <c r="H73" s="178" t="s">
        <v>325</v>
      </c>
      <c r="I73" s="175" t="s">
        <v>231</v>
      </c>
      <c r="J73" s="179" t="s">
        <v>231</v>
      </c>
      <c r="K73" s="179"/>
      <c r="L73" s="176" t="s">
        <v>335</v>
      </c>
      <c r="M73" s="180">
        <f t="shared" si="5"/>
        <v>281216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2">
        <f t="shared" si="4"/>
        <v>281216</v>
      </c>
      <c r="T73" s="183"/>
    </row>
    <row r="74" spans="1:20" ht="11.25">
      <c r="A74" s="175" t="s">
        <v>270</v>
      </c>
      <c r="B74" s="175">
        <v>4</v>
      </c>
      <c r="C74" s="176" t="s">
        <v>469</v>
      </c>
      <c r="D74" s="176" t="s">
        <v>331</v>
      </c>
      <c r="E74" s="176" t="s">
        <v>332</v>
      </c>
      <c r="F74" s="176"/>
      <c r="G74" s="176" t="s">
        <v>360</v>
      </c>
      <c r="H74" s="178" t="s">
        <v>325</v>
      </c>
      <c r="I74" s="175" t="s">
        <v>231</v>
      </c>
      <c r="J74" s="179" t="s">
        <v>231</v>
      </c>
      <c r="K74" s="179"/>
      <c r="L74" s="176" t="s">
        <v>335</v>
      </c>
      <c r="M74" s="180">
        <f t="shared" si="5"/>
        <v>292464.64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2">
        <f t="shared" si="4"/>
        <v>292464.64</v>
      </c>
      <c r="T74" s="183"/>
    </row>
    <row r="75" spans="1:20" ht="11.25">
      <c r="A75" s="175" t="s">
        <v>271</v>
      </c>
      <c r="B75" s="175">
        <v>5</v>
      </c>
      <c r="C75" s="176" t="s">
        <v>469</v>
      </c>
      <c r="D75" s="176" t="s">
        <v>331</v>
      </c>
      <c r="E75" s="176" t="s">
        <v>332</v>
      </c>
      <c r="F75" s="176"/>
      <c r="G75" s="176" t="s">
        <v>360</v>
      </c>
      <c r="H75" s="178" t="s">
        <v>325</v>
      </c>
      <c r="I75" s="175" t="s">
        <v>231</v>
      </c>
      <c r="J75" s="179" t="s">
        <v>231</v>
      </c>
      <c r="K75" s="179"/>
      <c r="L75" s="176" t="s">
        <v>335</v>
      </c>
      <c r="M75" s="180">
        <f t="shared" si="5"/>
        <v>304163.2256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2">
        <f t="shared" si="4"/>
        <v>304163.2256</v>
      </c>
      <c r="T75" s="183"/>
    </row>
    <row r="76" spans="1:20" ht="11.25">
      <c r="A76" s="175" t="s">
        <v>272</v>
      </c>
      <c r="B76" s="175">
        <v>6</v>
      </c>
      <c r="C76" s="176" t="s">
        <v>469</v>
      </c>
      <c r="D76" s="176" t="s">
        <v>331</v>
      </c>
      <c r="E76" s="176" t="s">
        <v>332</v>
      </c>
      <c r="F76" s="176"/>
      <c r="G76" s="176" t="s">
        <v>360</v>
      </c>
      <c r="H76" s="178" t="s">
        <v>325</v>
      </c>
      <c r="I76" s="175" t="s">
        <v>231</v>
      </c>
      <c r="J76" s="179" t="s">
        <v>231</v>
      </c>
      <c r="K76" s="179"/>
      <c r="L76" s="176" t="s">
        <v>335</v>
      </c>
      <c r="M76" s="180">
        <f t="shared" si="5"/>
        <v>316329.754624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2">
        <f t="shared" si="4"/>
        <v>316329.754624</v>
      </c>
      <c r="T76" s="183"/>
    </row>
    <row r="77" spans="1:20" ht="11.25">
      <c r="A77" s="175" t="s">
        <v>273</v>
      </c>
      <c r="B77" s="175">
        <v>7</v>
      </c>
      <c r="C77" s="176" t="s">
        <v>469</v>
      </c>
      <c r="D77" s="176" t="s">
        <v>331</v>
      </c>
      <c r="E77" s="176" t="s">
        <v>332</v>
      </c>
      <c r="F77" s="176"/>
      <c r="G77" s="176" t="s">
        <v>360</v>
      </c>
      <c r="H77" s="178" t="s">
        <v>325</v>
      </c>
      <c r="I77" s="175" t="s">
        <v>231</v>
      </c>
      <c r="J77" s="179" t="s">
        <v>231</v>
      </c>
      <c r="K77" s="179"/>
      <c r="L77" s="176" t="s">
        <v>335</v>
      </c>
      <c r="M77" s="180">
        <f t="shared" si="5"/>
        <v>328982.94480896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2">
        <f t="shared" si="4"/>
        <v>328982.94480896</v>
      </c>
      <c r="T77" s="183"/>
    </row>
    <row r="78" spans="1:20" ht="11.25">
      <c r="A78" s="175" t="s">
        <v>274</v>
      </c>
      <c r="B78" s="175">
        <v>8</v>
      </c>
      <c r="C78" s="176" t="s">
        <v>469</v>
      </c>
      <c r="D78" s="176" t="s">
        <v>331</v>
      </c>
      <c r="E78" s="176" t="s">
        <v>332</v>
      </c>
      <c r="F78" s="176"/>
      <c r="G78" s="176" t="s">
        <v>360</v>
      </c>
      <c r="H78" s="178" t="s">
        <v>325</v>
      </c>
      <c r="I78" s="175" t="s">
        <v>231</v>
      </c>
      <c r="J78" s="179" t="s">
        <v>231</v>
      </c>
      <c r="K78" s="179"/>
      <c r="L78" s="176" t="s">
        <v>335</v>
      </c>
      <c r="M78" s="180">
        <f t="shared" si="5"/>
        <v>342142.2626013184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2">
        <f t="shared" si="4"/>
        <v>342142.2626013184</v>
      </c>
      <c r="T78" s="183"/>
    </row>
    <row r="79" spans="1:20" ht="11.25">
      <c r="A79" s="175" t="s">
        <v>275</v>
      </c>
      <c r="B79" s="175">
        <v>9</v>
      </c>
      <c r="C79" s="176" t="s">
        <v>469</v>
      </c>
      <c r="D79" s="176" t="s">
        <v>331</v>
      </c>
      <c r="E79" s="176" t="s">
        <v>332</v>
      </c>
      <c r="F79" s="176"/>
      <c r="G79" s="176" t="s">
        <v>360</v>
      </c>
      <c r="H79" s="178" t="s">
        <v>325</v>
      </c>
      <c r="I79" s="175" t="s">
        <v>231</v>
      </c>
      <c r="J79" s="179" t="s">
        <v>231</v>
      </c>
      <c r="K79" s="179"/>
      <c r="L79" s="176" t="s">
        <v>335</v>
      </c>
      <c r="M79" s="180">
        <f t="shared" si="5"/>
        <v>355827.95310537115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2">
        <f t="shared" si="4"/>
        <v>355827.95310537115</v>
      </c>
      <c r="T79" s="183"/>
    </row>
    <row r="80" spans="1:20" ht="11.25">
      <c r="A80" s="175" t="s">
        <v>276</v>
      </c>
      <c r="B80" s="175">
        <v>10</v>
      </c>
      <c r="C80" s="176" t="s">
        <v>469</v>
      </c>
      <c r="D80" s="176" t="s">
        <v>331</v>
      </c>
      <c r="E80" s="176" t="s">
        <v>332</v>
      </c>
      <c r="F80" s="176"/>
      <c r="G80" s="176" t="s">
        <v>360</v>
      </c>
      <c r="H80" s="178" t="s">
        <v>325</v>
      </c>
      <c r="I80" s="175" t="s">
        <v>231</v>
      </c>
      <c r="J80" s="179" t="s">
        <v>231</v>
      </c>
      <c r="K80" s="179"/>
      <c r="L80" s="176" t="s">
        <v>335</v>
      </c>
      <c r="M80" s="180">
        <f t="shared" si="5"/>
        <v>370061.071229586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2">
        <f t="shared" si="4"/>
        <v>370061.071229586</v>
      </c>
      <c r="T80" s="183"/>
    </row>
    <row r="81" spans="1:20" ht="11.25">
      <c r="A81" s="175" t="s">
        <v>277</v>
      </c>
      <c r="B81" s="175">
        <v>11</v>
      </c>
      <c r="C81" s="176" t="s">
        <v>469</v>
      </c>
      <c r="D81" s="176" t="s">
        <v>331</v>
      </c>
      <c r="E81" s="176" t="s">
        <v>332</v>
      </c>
      <c r="F81" s="176"/>
      <c r="G81" s="176" t="s">
        <v>360</v>
      </c>
      <c r="H81" s="178" t="s">
        <v>325</v>
      </c>
      <c r="I81" s="175" t="s">
        <v>231</v>
      </c>
      <c r="J81" s="179" t="s">
        <v>231</v>
      </c>
      <c r="K81" s="179"/>
      <c r="L81" s="176" t="s">
        <v>335</v>
      </c>
      <c r="M81" s="180">
        <f t="shared" si="5"/>
        <v>384863.5140787695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2">
        <f t="shared" si="4"/>
        <v>384863.5140787695</v>
      </c>
      <c r="T81" s="183"/>
    </row>
    <row r="82" spans="1:20" ht="11.25">
      <c r="A82" s="175" t="s">
        <v>278</v>
      </c>
      <c r="B82" s="175">
        <v>12</v>
      </c>
      <c r="C82" s="176" t="s">
        <v>469</v>
      </c>
      <c r="D82" s="176" t="s">
        <v>331</v>
      </c>
      <c r="E82" s="176" t="s">
        <v>332</v>
      </c>
      <c r="F82" s="176"/>
      <c r="G82" s="176" t="s">
        <v>360</v>
      </c>
      <c r="H82" s="178" t="s">
        <v>325</v>
      </c>
      <c r="I82" s="175" t="s">
        <v>231</v>
      </c>
      <c r="J82" s="179" t="s">
        <v>231</v>
      </c>
      <c r="K82" s="179"/>
      <c r="L82" s="176" t="s">
        <v>335</v>
      </c>
      <c r="M82" s="180">
        <f t="shared" si="5"/>
        <v>400258.05464192026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82">
        <f t="shared" si="4"/>
        <v>400258.05464192026</v>
      </c>
      <c r="T82" s="183"/>
    </row>
    <row r="83" spans="1:20" ht="11.25">
      <c r="A83" s="175" t="s">
        <v>279</v>
      </c>
      <c r="B83" s="175">
        <v>13</v>
      </c>
      <c r="C83" s="176" t="s">
        <v>469</v>
      </c>
      <c r="D83" s="176" t="s">
        <v>331</v>
      </c>
      <c r="E83" s="176" t="s">
        <v>332</v>
      </c>
      <c r="F83" s="176"/>
      <c r="G83" s="176" t="s">
        <v>360</v>
      </c>
      <c r="H83" s="178" t="s">
        <v>325</v>
      </c>
      <c r="I83" s="175" t="s">
        <v>231</v>
      </c>
      <c r="J83" s="179" t="s">
        <v>231</v>
      </c>
      <c r="K83" s="179"/>
      <c r="L83" s="176" t="s">
        <v>335</v>
      </c>
      <c r="M83" s="180">
        <f t="shared" si="5"/>
        <v>416268.3768275971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82">
        <f t="shared" si="4"/>
        <v>416268.3768275971</v>
      </c>
      <c r="T83" s="183"/>
    </row>
    <row r="84" spans="1:20" ht="11.25">
      <c r="A84" s="175" t="s">
        <v>280</v>
      </c>
      <c r="B84" s="175">
        <v>14</v>
      </c>
      <c r="C84" s="176" t="s">
        <v>469</v>
      </c>
      <c r="D84" s="176" t="s">
        <v>331</v>
      </c>
      <c r="E84" s="176" t="s">
        <v>332</v>
      </c>
      <c r="F84" s="176"/>
      <c r="G84" s="176" t="s">
        <v>360</v>
      </c>
      <c r="H84" s="178" t="s">
        <v>325</v>
      </c>
      <c r="I84" s="175" t="s">
        <v>231</v>
      </c>
      <c r="J84" s="179" t="s">
        <v>231</v>
      </c>
      <c r="K84" s="179"/>
      <c r="L84" s="176" t="s">
        <v>335</v>
      </c>
      <c r="M84" s="180">
        <f t="shared" si="5"/>
        <v>432919.111900701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82">
        <f t="shared" si="4"/>
        <v>432919.111900701</v>
      </c>
      <c r="T84" s="183"/>
    </row>
    <row r="85" spans="1:20" ht="11.25">
      <c r="A85" s="175" t="s">
        <v>281</v>
      </c>
      <c r="B85" s="175">
        <v>15</v>
      </c>
      <c r="C85" s="176" t="s">
        <v>469</v>
      </c>
      <c r="D85" s="176" t="s">
        <v>331</v>
      </c>
      <c r="E85" s="176" t="s">
        <v>332</v>
      </c>
      <c r="F85" s="176"/>
      <c r="G85" s="176" t="s">
        <v>360</v>
      </c>
      <c r="H85" s="178" t="s">
        <v>325</v>
      </c>
      <c r="I85" s="175" t="s">
        <v>231</v>
      </c>
      <c r="J85" s="179" t="s">
        <v>231</v>
      </c>
      <c r="K85" s="179"/>
      <c r="L85" s="176" t="s">
        <v>335</v>
      </c>
      <c r="M85" s="180">
        <f t="shared" si="5"/>
        <v>450235.87637672905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82">
        <f t="shared" si="4"/>
        <v>450235.87637672905</v>
      </c>
      <c r="T85" s="183"/>
    </row>
    <row r="86" spans="1:20" ht="11.25">
      <c r="A86" s="175" t="s">
        <v>282</v>
      </c>
      <c r="B86" s="175">
        <v>16</v>
      </c>
      <c r="C86" s="176" t="s">
        <v>469</v>
      </c>
      <c r="D86" s="176" t="s">
        <v>331</v>
      </c>
      <c r="E86" s="176" t="s">
        <v>332</v>
      </c>
      <c r="F86" s="176"/>
      <c r="G86" s="176" t="s">
        <v>360</v>
      </c>
      <c r="H86" s="178" t="s">
        <v>325</v>
      </c>
      <c r="I86" s="175" t="s">
        <v>231</v>
      </c>
      <c r="J86" s="179" t="s">
        <v>231</v>
      </c>
      <c r="K86" s="179"/>
      <c r="L86" s="176" t="s">
        <v>335</v>
      </c>
      <c r="M86" s="180">
        <f t="shared" si="5"/>
        <v>468245.3114317982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2">
        <f t="shared" si="4"/>
        <v>468245.3114317982</v>
      </c>
      <c r="T86" s="183"/>
    </row>
    <row r="87" spans="1:20" ht="11.25">
      <c r="A87" s="175" t="s">
        <v>283</v>
      </c>
      <c r="B87" s="175">
        <v>17</v>
      </c>
      <c r="C87" s="176" t="s">
        <v>469</v>
      </c>
      <c r="D87" s="176" t="s">
        <v>331</v>
      </c>
      <c r="E87" s="176" t="s">
        <v>332</v>
      </c>
      <c r="F87" s="176"/>
      <c r="G87" s="176" t="s">
        <v>360</v>
      </c>
      <c r="H87" s="178" t="s">
        <v>325</v>
      </c>
      <c r="I87" s="175" t="s">
        <v>231</v>
      </c>
      <c r="J87" s="179" t="s">
        <v>231</v>
      </c>
      <c r="K87" s="179"/>
      <c r="L87" s="176" t="s">
        <v>335</v>
      </c>
      <c r="M87" s="180">
        <f t="shared" si="5"/>
        <v>486975.1238890702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2">
        <f t="shared" si="4"/>
        <v>486975.1238890702</v>
      </c>
      <c r="T87" s="183"/>
    </row>
    <row r="88" spans="1:20" ht="11.25">
      <c r="A88" s="175" t="s">
        <v>284</v>
      </c>
      <c r="B88" s="175">
        <v>18</v>
      </c>
      <c r="C88" s="176" t="s">
        <v>469</v>
      </c>
      <c r="D88" s="176" t="s">
        <v>331</v>
      </c>
      <c r="E88" s="176" t="s">
        <v>332</v>
      </c>
      <c r="F88" s="176"/>
      <c r="G88" s="176" t="s">
        <v>360</v>
      </c>
      <c r="H88" s="178" t="s">
        <v>325</v>
      </c>
      <c r="I88" s="175" t="s">
        <v>231</v>
      </c>
      <c r="J88" s="179" t="s">
        <v>231</v>
      </c>
      <c r="K88" s="179"/>
      <c r="L88" s="176" t="s">
        <v>335</v>
      </c>
      <c r="M88" s="180">
        <f t="shared" si="5"/>
        <v>506454.128844633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2">
        <f t="shared" si="4"/>
        <v>506454.128844633</v>
      </c>
      <c r="T88" s="183"/>
    </row>
    <row r="89" spans="1:20" ht="11.25">
      <c r="A89" s="175" t="s">
        <v>285</v>
      </c>
      <c r="B89" s="175">
        <v>19</v>
      </c>
      <c r="C89" s="176" t="s">
        <v>469</v>
      </c>
      <c r="D89" s="176" t="s">
        <v>331</v>
      </c>
      <c r="E89" s="176" t="s">
        <v>332</v>
      </c>
      <c r="F89" s="176"/>
      <c r="G89" s="176" t="s">
        <v>360</v>
      </c>
      <c r="H89" s="178" t="s">
        <v>325</v>
      </c>
      <c r="I89" s="175" t="s">
        <v>231</v>
      </c>
      <c r="J89" s="179" t="s">
        <v>231</v>
      </c>
      <c r="K89" s="179"/>
      <c r="L89" s="176" t="s">
        <v>335</v>
      </c>
      <c r="M89" s="180">
        <f t="shared" si="5"/>
        <v>526712.2939984184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2">
        <f t="shared" si="4"/>
        <v>526712.2939984184</v>
      </c>
      <c r="T89" s="183"/>
    </row>
    <row r="90" spans="1:20" ht="11.25">
      <c r="A90" s="175" t="s">
        <v>303</v>
      </c>
      <c r="B90" s="175">
        <v>20</v>
      </c>
      <c r="C90" s="176" t="s">
        <v>469</v>
      </c>
      <c r="D90" s="176" t="s">
        <v>331</v>
      </c>
      <c r="E90" s="176" t="s">
        <v>332</v>
      </c>
      <c r="F90" s="176"/>
      <c r="G90" s="176" t="s">
        <v>360</v>
      </c>
      <c r="H90" s="178" t="s">
        <v>325</v>
      </c>
      <c r="I90" s="175" t="s">
        <v>231</v>
      </c>
      <c r="J90" s="179" t="s">
        <v>231</v>
      </c>
      <c r="K90" s="179"/>
      <c r="L90" s="176" t="s">
        <v>335</v>
      </c>
      <c r="M90" s="180">
        <f t="shared" si="5"/>
        <v>547780.7857583552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2">
        <f t="shared" si="4"/>
        <v>547780.7857583552</v>
      </c>
      <c r="T90" s="183"/>
    </row>
    <row r="91" spans="1:20" ht="11.25">
      <c r="A91" s="175" t="s">
        <v>265</v>
      </c>
      <c r="B91" s="175">
        <v>0</v>
      </c>
      <c r="C91" s="176" t="s">
        <v>469</v>
      </c>
      <c r="D91" s="176" t="s">
        <v>331</v>
      </c>
      <c r="E91" s="176" t="s">
        <v>336</v>
      </c>
      <c r="F91" s="176"/>
      <c r="G91" s="176" t="s">
        <v>324</v>
      </c>
      <c r="H91" s="178" t="s">
        <v>325</v>
      </c>
      <c r="I91" s="175" t="s">
        <v>231</v>
      </c>
      <c r="J91" s="179" t="s">
        <v>326</v>
      </c>
      <c r="K91" s="179"/>
      <c r="L91" s="176" t="s">
        <v>337</v>
      </c>
      <c r="M91" s="180">
        <v>210000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82">
        <f t="shared" si="4"/>
        <v>210000</v>
      </c>
      <c r="T91" s="183"/>
    </row>
    <row r="92" spans="1:20" ht="11.25">
      <c r="A92" s="175" t="s">
        <v>267</v>
      </c>
      <c r="B92" s="175">
        <v>1</v>
      </c>
      <c r="C92" s="176" t="s">
        <v>469</v>
      </c>
      <c r="D92" s="176" t="s">
        <v>331</v>
      </c>
      <c r="E92" s="176" t="s">
        <v>336</v>
      </c>
      <c r="F92" s="176"/>
      <c r="G92" s="176" t="s">
        <v>324</v>
      </c>
      <c r="H92" s="178" t="s">
        <v>325</v>
      </c>
      <c r="I92" s="175" t="s">
        <v>231</v>
      </c>
      <c r="J92" s="179" t="s">
        <v>231</v>
      </c>
      <c r="K92" s="179"/>
      <c r="L92" s="176" t="s">
        <v>337</v>
      </c>
      <c r="M92" s="180">
        <f>IF(J92="Y",M91*(1+$F$4),IF(J92="I",M91*(1+$E$4),M91))</f>
        <v>218400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82">
        <f t="shared" si="4"/>
        <v>218400</v>
      </c>
      <c r="T92" s="183"/>
    </row>
    <row r="93" spans="1:20" ht="11.25">
      <c r="A93" s="175" t="s">
        <v>268</v>
      </c>
      <c r="B93" s="175">
        <v>2</v>
      </c>
      <c r="C93" s="176" t="s">
        <v>469</v>
      </c>
      <c r="D93" s="176" t="s">
        <v>331</v>
      </c>
      <c r="E93" s="176" t="s">
        <v>336</v>
      </c>
      <c r="F93" s="176"/>
      <c r="G93" s="176" t="s">
        <v>324</v>
      </c>
      <c r="H93" s="178" t="s">
        <v>325</v>
      </c>
      <c r="I93" s="175" t="s">
        <v>231</v>
      </c>
      <c r="J93" s="179" t="s">
        <v>231</v>
      </c>
      <c r="K93" s="179"/>
      <c r="L93" s="176" t="s">
        <v>337</v>
      </c>
      <c r="M93" s="180">
        <f aca="true" t="shared" si="6" ref="M93:M111">IF(J93="Y",M92*(1+$C$4),IF(J93="I",M92*(1+$E$4),M92))</f>
        <v>227136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2">
        <f t="shared" si="4"/>
        <v>227136</v>
      </c>
      <c r="T93" s="183"/>
    </row>
    <row r="94" spans="1:20" ht="11.25">
      <c r="A94" s="175" t="s">
        <v>269</v>
      </c>
      <c r="B94" s="175">
        <v>3</v>
      </c>
      <c r="C94" s="176" t="s">
        <v>469</v>
      </c>
      <c r="D94" s="176" t="s">
        <v>331</v>
      </c>
      <c r="E94" s="176" t="s">
        <v>336</v>
      </c>
      <c r="F94" s="176"/>
      <c r="G94" s="176" t="s">
        <v>324</v>
      </c>
      <c r="H94" s="178" t="s">
        <v>325</v>
      </c>
      <c r="I94" s="175" t="s">
        <v>231</v>
      </c>
      <c r="J94" s="179" t="s">
        <v>231</v>
      </c>
      <c r="K94" s="179"/>
      <c r="L94" s="176" t="s">
        <v>337</v>
      </c>
      <c r="M94" s="180">
        <f t="shared" si="6"/>
        <v>236221.44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2">
        <f t="shared" si="4"/>
        <v>236221.44</v>
      </c>
      <c r="T94" s="183"/>
    </row>
    <row r="95" spans="1:20" ht="11.25">
      <c r="A95" s="175" t="s">
        <v>270</v>
      </c>
      <c r="B95" s="175">
        <v>4</v>
      </c>
      <c r="C95" s="176" t="s">
        <v>469</v>
      </c>
      <c r="D95" s="176" t="s">
        <v>331</v>
      </c>
      <c r="E95" s="176" t="s">
        <v>336</v>
      </c>
      <c r="F95" s="176"/>
      <c r="G95" s="176" t="s">
        <v>324</v>
      </c>
      <c r="H95" s="178" t="s">
        <v>325</v>
      </c>
      <c r="I95" s="175" t="s">
        <v>231</v>
      </c>
      <c r="J95" s="179" t="s">
        <v>231</v>
      </c>
      <c r="K95" s="179"/>
      <c r="L95" s="176" t="s">
        <v>337</v>
      </c>
      <c r="M95" s="180">
        <f t="shared" si="6"/>
        <v>245670.29760000002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2">
        <f t="shared" si="4"/>
        <v>245670.29760000002</v>
      </c>
      <c r="T95" s="183"/>
    </row>
    <row r="96" spans="1:20" ht="11.25">
      <c r="A96" s="175" t="s">
        <v>271</v>
      </c>
      <c r="B96" s="175">
        <v>5</v>
      </c>
      <c r="C96" s="176" t="s">
        <v>469</v>
      </c>
      <c r="D96" s="176" t="s">
        <v>331</v>
      </c>
      <c r="E96" s="176" t="s">
        <v>336</v>
      </c>
      <c r="F96" s="176"/>
      <c r="G96" s="176" t="s">
        <v>324</v>
      </c>
      <c r="H96" s="178" t="s">
        <v>325</v>
      </c>
      <c r="I96" s="175" t="s">
        <v>231</v>
      </c>
      <c r="J96" s="179" t="s">
        <v>231</v>
      </c>
      <c r="K96" s="179"/>
      <c r="L96" s="176" t="s">
        <v>337</v>
      </c>
      <c r="M96" s="180">
        <f t="shared" si="6"/>
        <v>255497.10950400002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2">
        <f t="shared" si="4"/>
        <v>255497.10950400002</v>
      </c>
      <c r="T96" s="183"/>
    </row>
    <row r="97" spans="1:20" ht="11.25">
      <c r="A97" s="175" t="s">
        <v>272</v>
      </c>
      <c r="B97" s="175">
        <v>6</v>
      </c>
      <c r="C97" s="176" t="s">
        <v>469</v>
      </c>
      <c r="D97" s="176" t="s">
        <v>331</v>
      </c>
      <c r="E97" s="176" t="s">
        <v>336</v>
      </c>
      <c r="F97" s="176"/>
      <c r="G97" s="176" t="s">
        <v>324</v>
      </c>
      <c r="H97" s="178" t="s">
        <v>325</v>
      </c>
      <c r="I97" s="175" t="s">
        <v>231</v>
      </c>
      <c r="J97" s="179" t="s">
        <v>231</v>
      </c>
      <c r="K97" s="179"/>
      <c r="L97" s="176" t="s">
        <v>337</v>
      </c>
      <c r="M97" s="180">
        <f t="shared" si="6"/>
        <v>265716.99388416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2">
        <f t="shared" si="4"/>
        <v>265716.99388416</v>
      </c>
      <c r="T97" s="183"/>
    </row>
    <row r="98" spans="1:20" ht="11.25">
      <c r="A98" s="175" t="s">
        <v>273</v>
      </c>
      <c r="B98" s="175">
        <v>7</v>
      </c>
      <c r="C98" s="176" t="s">
        <v>469</v>
      </c>
      <c r="D98" s="176" t="s">
        <v>331</v>
      </c>
      <c r="E98" s="176" t="s">
        <v>336</v>
      </c>
      <c r="F98" s="176"/>
      <c r="G98" s="176" t="s">
        <v>324</v>
      </c>
      <c r="H98" s="178" t="s">
        <v>325</v>
      </c>
      <c r="I98" s="175" t="s">
        <v>231</v>
      </c>
      <c r="J98" s="179" t="s">
        <v>231</v>
      </c>
      <c r="K98" s="179"/>
      <c r="L98" s="176" t="s">
        <v>337</v>
      </c>
      <c r="M98" s="180">
        <f t="shared" si="6"/>
        <v>276345.6736395264</v>
      </c>
      <c r="N98" s="181">
        <v>0</v>
      </c>
      <c r="O98" s="181">
        <v>0</v>
      </c>
      <c r="P98" s="181">
        <v>0</v>
      </c>
      <c r="Q98" s="181">
        <v>0</v>
      </c>
      <c r="R98" s="181">
        <v>0</v>
      </c>
      <c r="S98" s="182">
        <f t="shared" si="4"/>
        <v>276345.6736395264</v>
      </c>
      <c r="T98" s="183"/>
    </row>
    <row r="99" spans="1:20" ht="11.25">
      <c r="A99" s="175" t="s">
        <v>274</v>
      </c>
      <c r="B99" s="175">
        <v>8</v>
      </c>
      <c r="C99" s="176" t="s">
        <v>469</v>
      </c>
      <c r="D99" s="176" t="s">
        <v>331</v>
      </c>
      <c r="E99" s="176" t="s">
        <v>336</v>
      </c>
      <c r="F99" s="176"/>
      <c r="G99" s="176" t="s">
        <v>324</v>
      </c>
      <c r="H99" s="178" t="s">
        <v>325</v>
      </c>
      <c r="I99" s="175" t="s">
        <v>231</v>
      </c>
      <c r="J99" s="179" t="s">
        <v>231</v>
      </c>
      <c r="K99" s="179"/>
      <c r="L99" s="176" t="s">
        <v>337</v>
      </c>
      <c r="M99" s="180">
        <f t="shared" si="6"/>
        <v>287399.5005851075</v>
      </c>
      <c r="N99" s="181">
        <v>0</v>
      </c>
      <c r="O99" s="181">
        <v>0</v>
      </c>
      <c r="P99" s="181">
        <v>0</v>
      </c>
      <c r="Q99" s="181">
        <v>0</v>
      </c>
      <c r="R99" s="181">
        <v>0</v>
      </c>
      <c r="S99" s="182">
        <f t="shared" si="4"/>
        <v>287399.5005851075</v>
      </c>
      <c r="T99" s="183"/>
    </row>
    <row r="100" spans="1:20" ht="11.25">
      <c r="A100" s="175" t="s">
        <v>275</v>
      </c>
      <c r="B100" s="175">
        <v>9</v>
      </c>
      <c r="C100" s="176" t="s">
        <v>469</v>
      </c>
      <c r="D100" s="176" t="s">
        <v>331</v>
      </c>
      <c r="E100" s="176" t="s">
        <v>336</v>
      </c>
      <c r="F100" s="176"/>
      <c r="G100" s="176" t="s">
        <v>324</v>
      </c>
      <c r="H100" s="178" t="s">
        <v>325</v>
      </c>
      <c r="I100" s="175" t="s">
        <v>231</v>
      </c>
      <c r="J100" s="179" t="s">
        <v>231</v>
      </c>
      <c r="K100" s="179"/>
      <c r="L100" s="176" t="s">
        <v>337</v>
      </c>
      <c r="M100" s="180">
        <f t="shared" si="6"/>
        <v>298895.4806085118</v>
      </c>
      <c r="N100" s="181">
        <v>0</v>
      </c>
      <c r="O100" s="181">
        <v>0</v>
      </c>
      <c r="P100" s="181">
        <v>0</v>
      </c>
      <c r="Q100" s="181">
        <v>0</v>
      </c>
      <c r="R100" s="181">
        <v>0</v>
      </c>
      <c r="S100" s="182">
        <f t="shared" si="4"/>
        <v>298895.4806085118</v>
      </c>
      <c r="T100" s="183"/>
    </row>
    <row r="101" spans="1:20" ht="11.25">
      <c r="A101" s="175" t="s">
        <v>276</v>
      </c>
      <c r="B101" s="175">
        <v>10</v>
      </c>
      <c r="C101" s="176" t="s">
        <v>469</v>
      </c>
      <c r="D101" s="176" t="s">
        <v>331</v>
      </c>
      <c r="E101" s="176" t="s">
        <v>336</v>
      </c>
      <c r="F101" s="176"/>
      <c r="G101" s="176" t="s">
        <v>324</v>
      </c>
      <c r="H101" s="178" t="s">
        <v>325</v>
      </c>
      <c r="I101" s="175" t="s">
        <v>231</v>
      </c>
      <c r="J101" s="179" t="s">
        <v>231</v>
      </c>
      <c r="K101" s="179"/>
      <c r="L101" s="176" t="s">
        <v>337</v>
      </c>
      <c r="M101" s="180">
        <f t="shared" si="6"/>
        <v>310851.29983285227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2">
        <f t="shared" si="4"/>
        <v>310851.29983285227</v>
      </c>
      <c r="T101" s="183"/>
    </row>
    <row r="102" spans="1:20" ht="11.25">
      <c r="A102" s="175" t="s">
        <v>277</v>
      </c>
      <c r="B102" s="175">
        <v>11</v>
      </c>
      <c r="C102" s="176" t="s">
        <v>469</v>
      </c>
      <c r="D102" s="176" t="s">
        <v>331</v>
      </c>
      <c r="E102" s="176" t="s">
        <v>336</v>
      </c>
      <c r="F102" s="176"/>
      <c r="G102" s="176" t="s">
        <v>324</v>
      </c>
      <c r="H102" s="178" t="s">
        <v>325</v>
      </c>
      <c r="I102" s="175" t="s">
        <v>231</v>
      </c>
      <c r="J102" s="179" t="s">
        <v>231</v>
      </c>
      <c r="K102" s="179"/>
      <c r="L102" s="176" t="s">
        <v>337</v>
      </c>
      <c r="M102" s="180">
        <f t="shared" si="6"/>
        <v>323285.3518261664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2">
        <f t="shared" si="4"/>
        <v>323285.3518261664</v>
      </c>
      <c r="T102" s="183"/>
    </row>
    <row r="103" spans="1:20" ht="11.25">
      <c r="A103" s="175" t="s">
        <v>278</v>
      </c>
      <c r="B103" s="175">
        <v>12</v>
      </c>
      <c r="C103" s="176" t="s">
        <v>469</v>
      </c>
      <c r="D103" s="176" t="s">
        <v>331</v>
      </c>
      <c r="E103" s="176" t="s">
        <v>336</v>
      </c>
      <c r="F103" s="176"/>
      <c r="G103" s="176" t="s">
        <v>324</v>
      </c>
      <c r="H103" s="178" t="s">
        <v>325</v>
      </c>
      <c r="I103" s="175" t="s">
        <v>231</v>
      </c>
      <c r="J103" s="179" t="s">
        <v>231</v>
      </c>
      <c r="K103" s="179"/>
      <c r="L103" s="176" t="s">
        <v>337</v>
      </c>
      <c r="M103" s="180">
        <f t="shared" si="6"/>
        <v>336216.76589921303</v>
      </c>
      <c r="N103" s="181">
        <v>0</v>
      </c>
      <c r="O103" s="181">
        <v>0</v>
      </c>
      <c r="P103" s="181">
        <v>0</v>
      </c>
      <c r="Q103" s="181">
        <v>0</v>
      </c>
      <c r="R103" s="181">
        <v>0</v>
      </c>
      <c r="S103" s="182">
        <f t="shared" si="4"/>
        <v>336216.76589921303</v>
      </c>
      <c r="T103" s="183"/>
    </row>
    <row r="104" spans="1:20" ht="11.25">
      <c r="A104" s="175" t="s">
        <v>279</v>
      </c>
      <c r="B104" s="175">
        <v>13</v>
      </c>
      <c r="C104" s="176" t="s">
        <v>469</v>
      </c>
      <c r="D104" s="176" t="s">
        <v>331</v>
      </c>
      <c r="E104" s="176" t="s">
        <v>336</v>
      </c>
      <c r="F104" s="176"/>
      <c r="G104" s="176" t="s">
        <v>324</v>
      </c>
      <c r="H104" s="178" t="s">
        <v>325</v>
      </c>
      <c r="I104" s="175" t="s">
        <v>231</v>
      </c>
      <c r="J104" s="179" t="s">
        <v>231</v>
      </c>
      <c r="K104" s="179"/>
      <c r="L104" s="176" t="s">
        <v>337</v>
      </c>
      <c r="M104" s="180">
        <f t="shared" si="6"/>
        <v>349665.43653518154</v>
      </c>
      <c r="N104" s="181">
        <v>0</v>
      </c>
      <c r="O104" s="181">
        <v>0</v>
      </c>
      <c r="P104" s="181">
        <v>0</v>
      </c>
      <c r="Q104" s="181">
        <v>0</v>
      </c>
      <c r="R104" s="181">
        <v>0</v>
      </c>
      <c r="S104" s="182">
        <f t="shared" si="4"/>
        <v>349665.43653518154</v>
      </c>
      <c r="T104" s="183"/>
    </row>
    <row r="105" spans="1:20" ht="11.25">
      <c r="A105" s="175" t="s">
        <v>280</v>
      </c>
      <c r="B105" s="175">
        <v>14</v>
      </c>
      <c r="C105" s="176" t="s">
        <v>469</v>
      </c>
      <c r="D105" s="176" t="s">
        <v>331</v>
      </c>
      <c r="E105" s="176" t="s">
        <v>336</v>
      </c>
      <c r="F105" s="176"/>
      <c r="G105" s="176" t="s">
        <v>324</v>
      </c>
      <c r="H105" s="178" t="s">
        <v>325</v>
      </c>
      <c r="I105" s="175" t="s">
        <v>231</v>
      </c>
      <c r="J105" s="179" t="s">
        <v>231</v>
      </c>
      <c r="K105" s="179"/>
      <c r="L105" s="176" t="s">
        <v>337</v>
      </c>
      <c r="M105" s="180">
        <f t="shared" si="6"/>
        <v>363652.0539965888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82">
        <f t="shared" si="4"/>
        <v>363652.0539965888</v>
      </c>
      <c r="T105" s="183"/>
    </row>
    <row r="106" spans="1:20" ht="11.25">
      <c r="A106" s="175" t="s">
        <v>281</v>
      </c>
      <c r="B106" s="175">
        <v>15</v>
      </c>
      <c r="C106" s="176" t="s">
        <v>469</v>
      </c>
      <c r="D106" s="176" t="s">
        <v>331</v>
      </c>
      <c r="E106" s="176" t="s">
        <v>336</v>
      </c>
      <c r="F106" s="176"/>
      <c r="G106" s="176" t="s">
        <v>324</v>
      </c>
      <c r="H106" s="178" t="s">
        <v>325</v>
      </c>
      <c r="I106" s="175" t="s">
        <v>231</v>
      </c>
      <c r="J106" s="179" t="s">
        <v>231</v>
      </c>
      <c r="K106" s="179"/>
      <c r="L106" s="176" t="s">
        <v>337</v>
      </c>
      <c r="M106" s="180">
        <f t="shared" si="6"/>
        <v>378198.13615645235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2">
        <f t="shared" si="4"/>
        <v>378198.13615645235</v>
      </c>
      <c r="T106" s="183"/>
    </row>
    <row r="107" spans="1:20" ht="11.25">
      <c r="A107" s="175" t="s">
        <v>282</v>
      </c>
      <c r="B107" s="175">
        <v>16</v>
      </c>
      <c r="C107" s="176" t="s">
        <v>469</v>
      </c>
      <c r="D107" s="176" t="s">
        <v>331</v>
      </c>
      <c r="E107" s="176" t="s">
        <v>336</v>
      </c>
      <c r="F107" s="176"/>
      <c r="G107" s="176" t="s">
        <v>324</v>
      </c>
      <c r="H107" s="178" t="s">
        <v>325</v>
      </c>
      <c r="I107" s="175" t="s">
        <v>231</v>
      </c>
      <c r="J107" s="179" t="s">
        <v>231</v>
      </c>
      <c r="K107" s="179"/>
      <c r="L107" s="176" t="s">
        <v>337</v>
      </c>
      <c r="M107" s="180">
        <f t="shared" si="6"/>
        <v>393326.06160271046</v>
      </c>
      <c r="N107" s="181">
        <v>0</v>
      </c>
      <c r="O107" s="181">
        <v>0</v>
      </c>
      <c r="P107" s="181">
        <v>0</v>
      </c>
      <c r="Q107" s="181">
        <v>0</v>
      </c>
      <c r="R107" s="181">
        <v>0</v>
      </c>
      <c r="S107" s="182">
        <f t="shared" si="4"/>
        <v>393326.06160271046</v>
      </c>
      <c r="T107" s="183"/>
    </row>
    <row r="108" spans="1:20" ht="11.25">
      <c r="A108" s="175" t="s">
        <v>283</v>
      </c>
      <c r="B108" s="175">
        <v>17</v>
      </c>
      <c r="C108" s="176" t="s">
        <v>469</v>
      </c>
      <c r="D108" s="176" t="s">
        <v>331</v>
      </c>
      <c r="E108" s="176" t="s">
        <v>336</v>
      </c>
      <c r="F108" s="176"/>
      <c r="G108" s="176" t="s">
        <v>324</v>
      </c>
      <c r="H108" s="178" t="s">
        <v>325</v>
      </c>
      <c r="I108" s="175" t="s">
        <v>231</v>
      </c>
      <c r="J108" s="179" t="s">
        <v>231</v>
      </c>
      <c r="K108" s="179"/>
      <c r="L108" s="176" t="s">
        <v>337</v>
      </c>
      <c r="M108" s="180">
        <f t="shared" si="6"/>
        <v>409059.1040668189</v>
      </c>
      <c r="N108" s="181">
        <v>0</v>
      </c>
      <c r="O108" s="181">
        <v>0</v>
      </c>
      <c r="P108" s="181">
        <v>0</v>
      </c>
      <c r="Q108" s="181">
        <v>0</v>
      </c>
      <c r="R108" s="181">
        <v>0</v>
      </c>
      <c r="S108" s="182">
        <f t="shared" si="4"/>
        <v>409059.1040668189</v>
      </c>
      <c r="T108" s="183"/>
    </row>
    <row r="109" spans="1:20" ht="11.25">
      <c r="A109" s="175" t="s">
        <v>284</v>
      </c>
      <c r="B109" s="175">
        <v>18</v>
      </c>
      <c r="C109" s="176" t="s">
        <v>469</v>
      </c>
      <c r="D109" s="176" t="s">
        <v>331</v>
      </c>
      <c r="E109" s="176" t="s">
        <v>336</v>
      </c>
      <c r="F109" s="176"/>
      <c r="G109" s="176" t="s">
        <v>324</v>
      </c>
      <c r="H109" s="178" t="s">
        <v>325</v>
      </c>
      <c r="I109" s="175" t="s">
        <v>231</v>
      </c>
      <c r="J109" s="179" t="s">
        <v>231</v>
      </c>
      <c r="K109" s="179"/>
      <c r="L109" s="176" t="s">
        <v>337</v>
      </c>
      <c r="M109" s="180">
        <f t="shared" si="6"/>
        <v>425421.4682294917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82">
        <f t="shared" si="4"/>
        <v>425421.4682294917</v>
      </c>
      <c r="T109" s="183"/>
    </row>
    <row r="110" spans="1:20" ht="11.25">
      <c r="A110" s="175" t="s">
        <v>285</v>
      </c>
      <c r="B110" s="175">
        <v>19</v>
      </c>
      <c r="C110" s="176" t="s">
        <v>469</v>
      </c>
      <c r="D110" s="176" t="s">
        <v>331</v>
      </c>
      <c r="E110" s="176" t="s">
        <v>336</v>
      </c>
      <c r="F110" s="176"/>
      <c r="G110" s="176" t="s">
        <v>324</v>
      </c>
      <c r="H110" s="178" t="s">
        <v>325</v>
      </c>
      <c r="I110" s="175" t="s">
        <v>231</v>
      </c>
      <c r="J110" s="179" t="s">
        <v>231</v>
      </c>
      <c r="K110" s="179"/>
      <c r="L110" s="176" t="s">
        <v>337</v>
      </c>
      <c r="M110" s="180">
        <f t="shared" si="6"/>
        <v>442438.3269586713</v>
      </c>
      <c r="N110" s="181">
        <v>0</v>
      </c>
      <c r="O110" s="181">
        <v>0</v>
      </c>
      <c r="P110" s="181">
        <v>0</v>
      </c>
      <c r="Q110" s="181">
        <v>0</v>
      </c>
      <c r="R110" s="181">
        <v>0</v>
      </c>
      <c r="S110" s="182">
        <f t="shared" si="4"/>
        <v>442438.3269586713</v>
      </c>
      <c r="T110" s="183"/>
    </row>
    <row r="111" spans="1:20" ht="11.25">
      <c r="A111" s="175" t="s">
        <v>303</v>
      </c>
      <c r="B111" s="175">
        <v>20</v>
      </c>
      <c r="C111" s="176" t="s">
        <v>469</v>
      </c>
      <c r="D111" s="176" t="s">
        <v>331</v>
      </c>
      <c r="E111" s="176" t="s">
        <v>336</v>
      </c>
      <c r="F111" s="176"/>
      <c r="G111" s="176" t="s">
        <v>324</v>
      </c>
      <c r="H111" s="178" t="s">
        <v>325</v>
      </c>
      <c r="I111" s="175" t="s">
        <v>231</v>
      </c>
      <c r="J111" s="179" t="s">
        <v>231</v>
      </c>
      <c r="K111" s="179"/>
      <c r="L111" s="176" t="s">
        <v>337</v>
      </c>
      <c r="M111" s="180">
        <f t="shared" si="6"/>
        <v>460135.8600370182</v>
      </c>
      <c r="N111" s="181">
        <v>0</v>
      </c>
      <c r="O111" s="181">
        <v>0</v>
      </c>
      <c r="P111" s="181">
        <v>0</v>
      </c>
      <c r="Q111" s="181">
        <v>0</v>
      </c>
      <c r="R111" s="181">
        <v>0</v>
      </c>
      <c r="S111" s="182">
        <f t="shared" si="4"/>
        <v>460135.8600370182</v>
      </c>
      <c r="T111" s="183"/>
    </row>
    <row r="112" spans="1:20" ht="11.25">
      <c r="A112" s="175" t="s">
        <v>265</v>
      </c>
      <c r="B112" s="175">
        <v>0</v>
      </c>
      <c r="C112" s="176" t="s">
        <v>469</v>
      </c>
      <c r="D112" s="176" t="s">
        <v>331</v>
      </c>
      <c r="E112" s="176" t="s">
        <v>338</v>
      </c>
      <c r="F112" s="176"/>
      <c r="G112" s="176" t="s">
        <v>324</v>
      </c>
      <c r="H112" s="178" t="s">
        <v>325</v>
      </c>
      <c r="I112" s="175" t="s">
        <v>231</v>
      </c>
      <c r="J112" s="179" t="s">
        <v>326</v>
      </c>
      <c r="K112" s="179"/>
      <c r="L112" s="176" t="s">
        <v>339</v>
      </c>
      <c r="M112" s="180">
        <v>160000</v>
      </c>
      <c r="N112" s="181">
        <v>0</v>
      </c>
      <c r="O112" s="181">
        <v>0</v>
      </c>
      <c r="P112" s="181">
        <v>0</v>
      </c>
      <c r="Q112" s="181">
        <v>0</v>
      </c>
      <c r="R112" s="181">
        <v>0</v>
      </c>
      <c r="S112" s="182">
        <f t="shared" si="4"/>
        <v>160000</v>
      </c>
      <c r="T112" s="183"/>
    </row>
    <row r="113" spans="1:20" ht="11.25">
      <c r="A113" s="175" t="s">
        <v>267</v>
      </c>
      <c r="B113" s="175">
        <v>1</v>
      </c>
      <c r="C113" s="176" t="s">
        <v>469</v>
      </c>
      <c r="D113" s="176" t="s">
        <v>331</v>
      </c>
      <c r="E113" s="176" t="s">
        <v>338</v>
      </c>
      <c r="F113" s="176"/>
      <c r="G113" s="176" t="s">
        <v>324</v>
      </c>
      <c r="H113" s="178" t="s">
        <v>325</v>
      </c>
      <c r="I113" s="175" t="s">
        <v>231</v>
      </c>
      <c r="J113" s="179" t="s">
        <v>231</v>
      </c>
      <c r="K113" s="179"/>
      <c r="L113" s="176" t="s">
        <v>339</v>
      </c>
      <c r="M113" s="180">
        <f>IF(J113="Y",M112*(1+$F$4),IF(J113="I",M112*(1+$E$4),M112))</f>
        <v>166400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2">
        <f t="shared" si="4"/>
        <v>166400</v>
      </c>
      <c r="T113" s="183"/>
    </row>
    <row r="114" spans="1:20" ht="11.25">
      <c r="A114" s="175" t="s">
        <v>268</v>
      </c>
      <c r="B114" s="175">
        <v>2</v>
      </c>
      <c r="C114" s="176" t="s">
        <v>469</v>
      </c>
      <c r="D114" s="176" t="s">
        <v>331</v>
      </c>
      <c r="E114" s="176" t="s">
        <v>338</v>
      </c>
      <c r="F114" s="176"/>
      <c r="G114" s="176" t="s">
        <v>324</v>
      </c>
      <c r="H114" s="178" t="s">
        <v>325</v>
      </c>
      <c r="I114" s="175" t="s">
        <v>231</v>
      </c>
      <c r="J114" s="179" t="s">
        <v>231</v>
      </c>
      <c r="K114" s="179"/>
      <c r="L114" s="176" t="s">
        <v>339</v>
      </c>
      <c r="M114" s="180">
        <f aca="true" t="shared" si="7" ref="M114:M132">IF(J114="Y",M113*(1+$C$4),IF(J114="I",M113*(1+$E$4),M113))</f>
        <v>173056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2">
        <f t="shared" si="4"/>
        <v>173056</v>
      </c>
      <c r="T114" s="183"/>
    </row>
    <row r="115" spans="1:20" ht="11.25">
      <c r="A115" s="175" t="s">
        <v>269</v>
      </c>
      <c r="B115" s="175">
        <v>3</v>
      </c>
      <c r="C115" s="176" t="s">
        <v>469</v>
      </c>
      <c r="D115" s="176" t="s">
        <v>331</v>
      </c>
      <c r="E115" s="176" t="s">
        <v>338</v>
      </c>
      <c r="F115" s="176"/>
      <c r="G115" s="176" t="s">
        <v>324</v>
      </c>
      <c r="H115" s="178" t="s">
        <v>325</v>
      </c>
      <c r="I115" s="175" t="s">
        <v>231</v>
      </c>
      <c r="J115" s="179" t="s">
        <v>231</v>
      </c>
      <c r="K115" s="179"/>
      <c r="L115" s="176" t="s">
        <v>339</v>
      </c>
      <c r="M115" s="180">
        <f t="shared" si="7"/>
        <v>179978.24000000002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2">
        <f t="shared" si="4"/>
        <v>179978.24000000002</v>
      </c>
      <c r="T115" s="183"/>
    </row>
    <row r="116" spans="1:20" ht="11.25">
      <c r="A116" s="175" t="s">
        <v>270</v>
      </c>
      <c r="B116" s="175">
        <v>4</v>
      </c>
      <c r="C116" s="176" t="s">
        <v>469</v>
      </c>
      <c r="D116" s="176" t="s">
        <v>331</v>
      </c>
      <c r="E116" s="176" t="s">
        <v>338</v>
      </c>
      <c r="F116" s="176"/>
      <c r="G116" s="176" t="s">
        <v>324</v>
      </c>
      <c r="H116" s="178" t="s">
        <v>325</v>
      </c>
      <c r="I116" s="175" t="s">
        <v>231</v>
      </c>
      <c r="J116" s="179" t="s">
        <v>231</v>
      </c>
      <c r="K116" s="179"/>
      <c r="L116" s="176" t="s">
        <v>339</v>
      </c>
      <c r="M116" s="180">
        <f t="shared" si="7"/>
        <v>187177.36960000003</v>
      </c>
      <c r="N116" s="181">
        <v>0</v>
      </c>
      <c r="O116" s="181">
        <v>0</v>
      </c>
      <c r="P116" s="181">
        <v>0</v>
      </c>
      <c r="Q116" s="181">
        <v>0</v>
      </c>
      <c r="R116" s="181">
        <v>0</v>
      </c>
      <c r="S116" s="182">
        <f t="shared" si="4"/>
        <v>187177.36960000003</v>
      </c>
      <c r="T116" s="183"/>
    </row>
    <row r="117" spans="1:20" ht="11.25">
      <c r="A117" s="175" t="s">
        <v>271</v>
      </c>
      <c r="B117" s="175">
        <v>5</v>
      </c>
      <c r="C117" s="176" t="s">
        <v>469</v>
      </c>
      <c r="D117" s="176" t="s">
        <v>331</v>
      </c>
      <c r="E117" s="176" t="s">
        <v>338</v>
      </c>
      <c r="F117" s="176"/>
      <c r="G117" s="176" t="s">
        <v>324</v>
      </c>
      <c r="H117" s="178" t="s">
        <v>325</v>
      </c>
      <c r="I117" s="175" t="s">
        <v>231</v>
      </c>
      <c r="J117" s="179" t="s">
        <v>231</v>
      </c>
      <c r="K117" s="179"/>
      <c r="L117" s="176" t="s">
        <v>339</v>
      </c>
      <c r="M117" s="180">
        <f t="shared" si="7"/>
        <v>194664.46438400005</v>
      </c>
      <c r="N117" s="181">
        <v>0</v>
      </c>
      <c r="O117" s="181">
        <v>0</v>
      </c>
      <c r="P117" s="181">
        <v>0</v>
      </c>
      <c r="Q117" s="181">
        <v>0</v>
      </c>
      <c r="R117" s="181">
        <v>0</v>
      </c>
      <c r="S117" s="182">
        <f t="shared" si="4"/>
        <v>194664.46438400005</v>
      </c>
      <c r="T117" s="183"/>
    </row>
    <row r="118" spans="1:20" ht="11.25">
      <c r="A118" s="175" t="s">
        <v>272</v>
      </c>
      <c r="B118" s="175">
        <v>6</v>
      </c>
      <c r="C118" s="176" t="s">
        <v>469</v>
      </c>
      <c r="D118" s="176" t="s">
        <v>331</v>
      </c>
      <c r="E118" s="176" t="s">
        <v>338</v>
      </c>
      <c r="F118" s="176"/>
      <c r="G118" s="176" t="s">
        <v>324</v>
      </c>
      <c r="H118" s="178" t="s">
        <v>325</v>
      </c>
      <c r="I118" s="175" t="s">
        <v>231</v>
      </c>
      <c r="J118" s="179" t="s">
        <v>231</v>
      </c>
      <c r="K118" s="179"/>
      <c r="L118" s="176" t="s">
        <v>339</v>
      </c>
      <c r="M118" s="180">
        <f t="shared" si="7"/>
        <v>202451.04295936006</v>
      </c>
      <c r="N118" s="181">
        <v>0</v>
      </c>
      <c r="O118" s="181">
        <v>0</v>
      </c>
      <c r="P118" s="181">
        <v>0</v>
      </c>
      <c r="Q118" s="181">
        <v>0</v>
      </c>
      <c r="R118" s="181">
        <v>0</v>
      </c>
      <c r="S118" s="182">
        <f t="shared" si="4"/>
        <v>202451.04295936006</v>
      </c>
      <c r="T118" s="183"/>
    </row>
    <row r="119" spans="1:20" ht="11.25">
      <c r="A119" s="175" t="s">
        <v>273</v>
      </c>
      <c r="B119" s="175">
        <v>7</v>
      </c>
      <c r="C119" s="176" t="s">
        <v>469</v>
      </c>
      <c r="D119" s="176" t="s">
        <v>331</v>
      </c>
      <c r="E119" s="176" t="s">
        <v>338</v>
      </c>
      <c r="F119" s="176"/>
      <c r="G119" s="176" t="s">
        <v>324</v>
      </c>
      <c r="H119" s="178" t="s">
        <v>325</v>
      </c>
      <c r="I119" s="175" t="s">
        <v>231</v>
      </c>
      <c r="J119" s="179" t="s">
        <v>231</v>
      </c>
      <c r="K119" s="179"/>
      <c r="L119" s="176" t="s">
        <v>339</v>
      </c>
      <c r="M119" s="180">
        <f t="shared" si="7"/>
        <v>210549.08467773447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2">
        <f t="shared" si="4"/>
        <v>210549.08467773447</v>
      </c>
      <c r="T119" s="183"/>
    </row>
    <row r="120" spans="1:20" ht="11.25">
      <c r="A120" s="175" t="s">
        <v>274</v>
      </c>
      <c r="B120" s="175">
        <v>8</v>
      </c>
      <c r="C120" s="176" t="s">
        <v>469</v>
      </c>
      <c r="D120" s="176" t="s">
        <v>331</v>
      </c>
      <c r="E120" s="176" t="s">
        <v>338</v>
      </c>
      <c r="F120" s="176"/>
      <c r="G120" s="176" t="s">
        <v>324</v>
      </c>
      <c r="H120" s="178" t="s">
        <v>325</v>
      </c>
      <c r="I120" s="175" t="s">
        <v>231</v>
      </c>
      <c r="J120" s="179" t="s">
        <v>231</v>
      </c>
      <c r="K120" s="179"/>
      <c r="L120" s="176" t="s">
        <v>339</v>
      </c>
      <c r="M120" s="180">
        <f t="shared" si="7"/>
        <v>218971.04806484387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2">
        <f t="shared" si="4"/>
        <v>218971.04806484387</v>
      </c>
      <c r="T120" s="183"/>
    </row>
    <row r="121" spans="1:20" ht="11.25">
      <c r="A121" s="175" t="s">
        <v>275</v>
      </c>
      <c r="B121" s="175">
        <v>9</v>
      </c>
      <c r="C121" s="176" t="s">
        <v>469</v>
      </c>
      <c r="D121" s="176" t="s">
        <v>331</v>
      </c>
      <c r="E121" s="176" t="s">
        <v>338</v>
      </c>
      <c r="F121" s="176"/>
      <c r="G121" s="176" t="s">
        <v>324</v>
      </c>
      <c r="H121" s="178" t="s">
        <v>325</v>
      </c>
      <c r="I121" s="175" t="s">
        <v>231</v>
      </c>
      <c r="J121" s="179" t="s">
        <v>231</v>
      </c>
      <c r="K121" s="179"/>
      <c r="L121" s="176" t="s">
        <v>339</v>
      </c>
      <c r="M121" s="180">
        <f t="shared" si="7"/>
        <v>227729.88998743764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2">
        <f t="shared" si="4"/>
        <v>227729.88998743764</v>
      </c>
      <c r="T121" s="183"/>
    </row>
    <row r="122" spans="1:20" ht="11.25">
      <c r="A122" s="175" t="s">
        <v>276</v>
      </c>
      <c r="B122" s="175">
        <v>10</v>
      </c>
      <c r="C122" s="176" t="s">
        <v>469</v>
      </c>
      <c r="D122" s="176" t="s">
        <v>331</v>
      </c>
      <c r="E122" s="176" t="s">
        <v>338</v>
      </c>
      <c r="F122" s="176"/>
      <c r="G122" s="176" t="s">
        <v>324</v>
      </c>
      <c r="H122" s="178" t="s">
        <v>325</v>
      </c>
      <c r="I122" s="175" t="s">
        <v>231</v>
      </c>
      <c r="J122" s="179" t="s">
        <v>231</v>
      </c>
      <c r="K122" s="179"/>
      <c r="L122" s="176" t="s">
        <v>339</v>
      </c>
      <c r="M122" s="180">
        <f t="shared" si="7"/>
        <v>236839.08558693514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2">
        <f t="shared" si="4"/>
        <v>236839.08558693514</v>
      </c>
      <c r="T122" s="183"/>
    </row>
    <row r="123" spans="1:20" ht="11.25">
      <c r="A123" s="175" t="s">
        <v>277</v>
      </c>
      <c r="B123" s="175">
        <v>11</v>
      </c>
      <c r="C123" s="176" t="s">
        <v>469</v>
      </c>
      <c r="D123" s="176" t="s">
        <v>331</v>
      </c>
      <c r="E123" s="176" t="s">
        <v>338</v>
      </c>
      <c r="F123" s="176"/>
      <c r="G123" s="176" t="s">
        <v>324</v>
      </c>
      <c r="H123" s="178" t="s">
        <v>325</v>
      </c>
      <c r="I123" s="175" t="s">
        <v>231</v>
      </c>
      <c r="J123" s="179" t="s">
        <v>231</v>
      </c>
      <c r="K123" s="179"/>
      <c r="L123" s="176" t="s">
        <v>339</v>
      </c>
      <c r="M123" s="180">
        <f t="shared" si="7"/>
        <v>246312.64901041254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2">
        <f t="shared" si="4"/>
        <v>246312.64901041254</v>
      </c>
      <c r="T123" s="183"/>
    </row>
    <row r="124" spans="1:20" ht="11.25">
      <c r="A124" s="175" t="s">
        <v>278</v>
      </c>
      <c r="B124" s="175">
        <v>12</v>
      </c>
      <c r="C124" s="176" t="s">
        <v>469</v>
      </c>
      <c r="D124" s="176" t="s">
        <v>331</v>
      </c>
      <c r="E124" s="176" t="s">
        <v>338</v>
      </c>
      <c r="F124" s="176"/>
      <c r="G124" s="176" t="s">
        <v>324</v>
      </c>
      <c r="H124" s="178" t="s">
        <v>325</v>
      </c>
      <c r="I124" s="175" t="s">
        <v>231</v>
      </c>
      <c r="J124" s="179" t="s">
        <v>231</v>
      </c>
      <c r="K124" s="179"/>
      <c r="L124" s="176" t="s">
        <v>339</v>
      </c>
      <c r="M124" s="180">
        <f t="shared" si="7"/>
        <v>256165.15497082905</v>
      </c>
      <c r="N124" s="181">
        <v>0</v>
      </c>
      <c r="O124" s="181">
        <v>0</v>
      </c>
      <c r="P124" s="181">
        <v>0</v>
      </c>
      <c r="Q124" s="181">
        <v>0</v>
      </c>
      <c r="R124" s="181">
        <v>0</v>
      </c>
      <c r="S124" s="182">
        <f t="shared" si="4"/>
        <v>256165.15497082905</v>
      </c>
      <c r="T124" s="183"/>
    </row>
    <row r="125" spans="1:20" ht="11.25">
      <c r="A125" s="175" t="s">
        <v>279</v>
      </c>
      <c r="B125" s="175">
        <v>13</v>
      </c>
      <c r="C125" s="176" t="s">
        <v>469</v>
      </c>
      <c r="D125" s="176" t="s">
        <v>331</v>
      </c>
      <c r="E125" s="176" t="s">
        <v>338</v>
      </c>
      <c r="F125" s="176"/>
      <c r="G125" s="176" t="s">
        <v>324</v>
      </c>
      <c r="H125" s="178" t="s">
        <v>325</v>
      </c>
      <c r="I125" s="175" t="s">
        <v>231</v>
      </c>
      <c r="J125" s="179" t="s">
        <v>231</v>
      </c>
      <c r="K125" s="179"/>
      <c r="L125" s="176" t="s">
        <v>339</v>
      </c>
      <c r="M125" s="180">
        <f t="shared" si="7"/>
        <v>266411.76116966223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2">
        <f t="shared" si="4"/>
        <v>266411.76116966223</v>
      </c>
      <c r="T125" s="183"/>
    </row>
    <row r="126" spans="1:20" ht="11.25">
      <c r="A126" s="175" t="s">
        <v>280</v>
      </c>
      <c r="B126" s="175">
        <v>14</v>
      </c>
      <c r="C126" s="176" t="s">
        <v>469</v>
      </c>
      <c r="D126" s="176" t="s">
        <v>331</v>
      </c>
      <c r="E126" s="176" t="s">
        <v>338</v>
      </c>
      <c r="F126" s="176"/>
      <c r="G126" s="176" t="s">
        <v>324</v>
      </c>
      <c r="H126" s="178" t="s">
        <v>325</v>
      </c>
      <c r="I126" s="175" t="s">
        <v>231</v>
      </c>
      <c r="J126" s="179" t="s">
        <v>231</v>
      </c>
      <c r="K126" s="179"/>
      <c r="L126" s="176" t="s">
        <v>339</v>
      </c>
      <c r="M126" s="180">
        <f t="shared" si="7"/>
        <v>277068.2316164487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2">
        <f t="shared" si="4"/>
        <v>277068.2316164487</v>
      </c>
      <c r="T126" s="183"/>
    </row>
    <row r="127" spans="1:20" ht="11.25">
      <c r="A127" s="175" t="s">
        <v>281</v>
      </c>
      <c r="B127" s="175">
        <v>15</v>
      </c>
      <c r="C127" s="176" t="s">
        <v>469</v>
      </c>
      <c r="D127" s="176" t="s">
        <v>331</v>
      </c>
      <c r="E127" s="176" t="s">
        <v>338</v>
      </c>
      <c r="F127" s="176"/>
      <c r="G127" s="176" t="s">
        <v>324</v>
      </c>
      <c r="H127" s="178" t="s">
        <v>325</v>
      </c>
      <c r="I127" s="175" t="s">
        <v>231</v>
      </c>
      <c r="J127" s="179" t="s">
        <v>231</v>
      </c>
      <c r="K127" s="179"/>
      <c r="L127" s="176" t="s">
        <v>339</v>
      </c>
      <c r="M127" s="180">
        <f t="shared" si="7"/>
        <v>288150.9608811067</v>
      </c>
      <c r="N127" s="181">
        <v>0</v>
      </c>
      <c r="O127" s="181">
        <v>0</v>
      </c>
      <c r="P127" s="181">
        <v>0</v>
      </c>
      <c r="Q127" s="181">
        <v>0</v>
      </c>
      <c r="R127" s="181">
        <v>0</v>
      </c>
      <c r="S127" s="182">
        <f t="shared" si="4"/>
        <v>288150.9608811067</v>
      </c>
      <c r="T127" s="183"/>
    </row>
    <row r="128" spans="1:20" ht="11.25">
      <c r="A128" s="175" t="s">
        <v>282</v>
      </c>
      <c r="B128" s="175">
        <v>16</v>
      </c>
      <c r="C128" s="176" t="s">
        <v>469</v>
      </c>
      <c r="D128" s="176" t="s">
        <v>331</v>
      </c>
      <c r="E128" s="176" t="s">
        <v>338</v>
      </c>
      <c r="F128" s="176"/>
      <c r="G128" s="176" t="s">
        <v>324</v>
      </c>
      <c r="H128" s="178" t="s">
        <v>325</v>
      </c>
      <c r="I128" s="175" t="s">
        <v>231</v>
      </c>
      <c r="J128" s="179" t="s">
        <v>231</v>
      </c>
      <c r="K128" s="179"/>
      <c r="L128" s="176" t="s">
        <v>339</v>
      </c>
      <c r="M128" s="180">
        <f t="shared" si="7"/>
        <v>299676.99931635096</v>
      </c>
      <c r="N128" s="181">
        <v>0</v>
      </c>
      <c r="O128" s="181">
        <v>0</v>
      </c>
      <c r="P128" s="181">
        <v>0</v>
      </c>
      <c r="Q128" s="181">
        <v>0</v>
      </c>
      <c r="R128" s="181">
        <v>0</v>
      </c>
      <c r="S128" s="182">
        <f t="shared" si="4"/>
        <v>299676.99931635096</v>
      </c>
      <c r="T128" s="183"/>
    </row>
    <row r="129" spans="1:20" ht="11.25">
      <c r="A129" s="175" t="s">
        <v>283</v>
      </c>
      <c r="B129" s="175">
        <v>17</v>
      </c>
      <c r="C129" s="176" t="s">
        <v>469</v>
      </c>
      <c r="D129" s="176" t="s">
        <v>331</v>
      </c>
      <c r="E129" s="176" t="s">
        <v>338</v>
      </c>
      <c r="F129" s="176"/>
      <c r="G129" s="176" t="s">
        <v>324</v>
      </c>
      <c r="H129" s="178" t="s">
        <v>325</v>
      </c>
      <c r="I129" s="175" t="s">
        <v>231</v>
      </c>
      <c r="J129" s="179" t="s">
        <v>231</v>
      </c>
      <c r="K129" s="179"/>
      <c r="L129" s="176" t="s">
        <v>339</v>
      </c>
      <c r="M129" s="180">
        <f t="shared" si="7"/>
        <v>311664.079289005</v>
      </c>
      <c r="N129" s="181">
        <v>0</v>
      </c>
      <c r="O129" s="181">
        <v>0</v>
      </c>
      <c r="P129" s="181">
        <v>0</v>
      </c>
      <c r="Q129" s="181">
        <v>0</v>
      </c>
      <c r="R129" s="181">
        <v>0</v>
      </c>
      <c r="S129" s="182">
        <f t="shared" si="4"/>
        <v>311664.079289005</v>
      </c>
      <c r="T129" s="183"/>
    </row>
    <row r="130" spans="1:20" ht="11.25">
      <c r="A130" s="175" t="s">
        <v>284</v>
      </c>
      <c r="B130" s="175">
        <v>18</v>
      </c>
      <c r="C130" s="176" t="s">
        <v>469</v>
      </c>
      <c r="D130" s="176" t="s">
        <v>331</v>
      </c>
      <c r="E130" s="176" t="s">
        <v>338</v>
      </c>
      <c r="F130" s="176"/>
      <c r="G130" s="176" t="s">
        <v>324</v>
      </c>
      <c r="H130" s="178" t="s">
        <v>325</v>
      </c>
      <c r="I130" s="175" t="s">
        <v>231</v>
      </c>
      <c r="J130" s="179" t="s">
        <v>231</v>
      </c>
      <c r="K130" s="179"/>
      <c r="L130" s="176" t="s">
        <v>339</v>
      </c>
      <c r="M130" s="180">
        <f t="shared" si="7"/>
        <v>324130.64246056526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2">
        <f t="shared" si="4"/>
        <v>324130.64246056526</v>
      </c>
      <c r="T130" s="183"/>
    </row>
    <row r="131" spans="1:20" ht="11.25">
      <c r="A131" s="175" t="s">
        <v>285</v>
      </c>
      <c r="B131" s="175">
        <v>19</v>
      </c>
      <c r="C131" s="176" t="s">
        <v>469</v>
      </c>
      <c r="D131" s="176" t="s">
        <v>331</v>
      </c>
      <c r="E131" s="176" t="s">
        <v>338</v>
      </c>
      <c r="F131" s="176"/>
      <c r="G131" s="176" t="s">
        <v>324</v>
      </c>
      <c r="H131" s="178" t="s">
        <v>325</v>
      </c>
      <c r="I131" s="175" t="s">
        <v>231</v>
      </c>
      <c r="J131" s="179" t="s">
        <v>231</v>
      </c>
      <c r="K131" s="179"/>
      <c r="L131" s="176" t="s">
        <v>339</v>
      </c>
      <c r="M131" s="180">
        <f t="shared" si="7"/>
        <v>337095.8681589879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2">
        <f t="shared" si="4"/>
        <v>337095.8681589879</v>
      </c>
      <c r="T131" s="183"/>
    </row>
    <row r="132" spans="1:20" ht="11.25">
      <c r="A132" s="175" t="s">
        <v>303</v>
      </c>
      <c r="B132" s="175">
        <v>20</v>
      </c>
      <c r="C132" s="176" t="s">
        <v>469</v>
      </c>
      <c r="D132" s="176" t="s">
        <v>331</v>
      </c>
      <c r="E132" s="176" t="s">
        <v>338</v>
      </c>
      <c r="F132" s="176"/>
      <c r="G132" s="176" t="s">
        <v>324</v>
      </c>
      <c r="H132" s="178" t="s">
        <v>325</v>
      </c>
      <c r="I132" s="175" t="s">
        <v>231</v>
      </c>
      <c r="J132" s="179" t="s">
        <v>231</v>
      </c>
      <c r="K132" s="179"/>
      <c r="L132" s="176" t="s">
        <v>339</v>
      </c>
      <c r="M132" s="180">
        <f t="shared" si="7"/>
        <v>350579.7028853474</v>
      </c>
      <c r="N132" s="181">
        <v>0</v>
      </c>
      <c r="O132" s="181">
        <v>0</v>
      </c>
      <c r="P132" s="181">
        <v>0</v>
      </c>
      <c r="Q132" s="181">
        <v>0</v>
      </c>
      <c r="R132" s="181">
        <v>0</v>
      </c>
      <c r="S132" s="182">
        <f t="shared" si="4"/>
        <v>350579.7028853474</v>
      </c>
      <c r="T132" s="183"/>
    </row>
    <row r="133" spans="1:20" ht="11.25">
      <c r="A133" s="175" t="s">
        <v>265</v>
      </c>
      <c r="B133" s="175">
        <v>0</v>
      </c>
      <c r="C133" s="176" t="s">
        <v>469</v>
      </c>
      <c r="D133" s="176" t="s">
        <v>328</v>
      </c>
      <c r="E133" s="176" t="s">
        <v>329</v>
      </c>
      <c r="F133" s="176"/>
      <c r="G133" s="176" t="s">
        <v>324</v>
      </c>
      <c r="H133" s="178" t="s">
        <v>325</v>
      </c>
      <c r="I133" s="175" t="s">
        <v>231</v>
      </c>
      <c r="J133" s="179" t="s">
        <v>326</v>
      </c>
      <c r="K133" s="179"/>
      <c r="L133" s="176" t="s">
        <v>340</v>
      </c>
      <c r="M133" s="180">
        <v>162240</v>
      </c>
      <c r="N133" s="181">
        <v>0</v>
      </c>
      <c r="O133" s="181">
        <v>0</v>
      </c>
      <c r="P133" s="181">
        <v>0</v>
      </c>
      <c r="Q133" s="181">
        <v>0</v>
      </c>
      <c r="R133" s="181">
        <v>0</v>
      </c>
      <c r="S133" s="182">
        <f t="shared" si="4"/>
        <v>162240</v>
      </c>
      <c r="T133" s="183"/>
    </row>
    <row r="134" spans="1:20" ht="11.25">
      <c r="A134" s="175" t="s">
        <v>267</v>
      </c>
      <c r="B134" s="175">
        <v>1</v>
      </c>
      <c r="C134" s="176" t="s">
        <v>469</v>
      </c>
      <c r="D134" s="176" t="s">
        <v>328</v>
      </c>
      <c r="E134" s="176" t="s">
        <v>329</v>
      </c>
      <c r="F134" s="176"/>
      <c r="G134" s="176" t="s">
        <v>324</v>
      </c>
      <c r="H134" s="178" t="s">
        <v>325</v>
      </c>
      <c r="I134" s="175" t="s">
        <v>231</v>
      </c>
      <c r="J134" s="179" t="s">
        <v>231</v>
      </c>
      <c r="K134" s="179"/>
      <c r="L134" s="176" t="s">
        <v>340</v>
      </c>
      <c r="M134" s="180">
        <f>IF(J134="Y",M133*(1+$F$4),IF(J134="I",M133*(1+$E$4),M133))</f>
        <v>168729.6</v>
      </c>
      <c r="N134" s="181">
        <v>0</v>
      </c>
      <c r="O134" s="181">
        <v>0</v>
      </c>
      <c r="P134" s="181">
        <v>0</v>
      </c>
      <c r="Q134" s="181">
        <v>0</v>
      </c>
      <c r="R134" s="181">
        <v>0</v>
      </c>
      <c r="S134" s="182">
        <f t="shared" si="4"/>
        <v>168729.6</v>
      </c>
      <c r="T134" s="183"/>
    </row>
    <row r="135" spans="1:20" ht="11.25">
      <c r="A135" s="175" t="s">
        <v>268</v>
      </c>
      <c r="B135" s="175">
        <v>2</v>
      </c>
      <c r="C135" s="176" t="s">
        <v>469</v>
      </c>
      <c r="D135" s="176" t="s">
        <v>328</v>
      </c>
      <c r="E135" s="176" t="s">
        <v>329</v>
      </c>
      <c r="F135" s="176"/>
      <c r="G135" s="176" t="s">
        <v>324</v>
      </c>
      <c r="H135" s="178" t="s">
        <v>325</v>
      </c>
      <c r="I135" s="175" t="s">
        <v>231</v>
      </c>
      <c r="J135" s="179" t="s">
        <v>231</v>
      </c>
      <c r="K135" s="179"/>
      <c r="L135" s="176" t="s">
        <v>340</v>
      </c>
      <c r="M135" s="180">
        <f aca="true" t="shared" si="8" ref="M135:M153">IF(J135="Y",M134*(1+$C$4),IF(J135="I",M134*(1+$E$4),M134))</f>
        <v>175478.784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2">
        <f aca="true" t="shared" si="9" ref="S135:S198">M135-SUM(N135:R135)</f>
        <v>175478.784</v>
      </c>
      <c r="T135" s="183"/>
    </row>
    <row r="136" spans="1:20" ht="11.25">
      <c r="A136" s="175" t="s">
        <v>269</v>
      </c>
      <c r="B136" s="175">
        <v>3</v>
      </c>
      <c r="C136" s="176" t="s">
        <v>469</v>
      </c>
      <c r="D136" s="176" t="s">
        <v>328</v>
      </c>
      <c r="E136" s="176" t="s">
        <v>329</v>
      </c>
      <c r="F136" s="176"/>
      <c r="G136" s="176" t="s">
        <v>324</v>
      </c>
      <c r="H136" s="178" t="s">
        <v>325</v>
      </c>
      <c r="I136" s="175" t="s">
        <v>231</v>
      </c>
      <c r="J136" s="179" t="s">
        <v>231</v>
      </c>
      <c r="K136" s="179"/>
      <c r="L136" s="176" t="s">
        <v>340</v>
      </c>
      <c r="M136" s="180">
        <f t="shared" si="8"/>
        <v>182497.93536000003</v>
      </c>
      <c r="N136" s="181">
        <v>0</v>
      </c>
      <c r="O136" s="181">
        <v>0</v>
      </c>
      <c r="P136" s="181">
        <v>0</v>
      </c>
      <c r="Q136" s="181">
        <v>0</v>
      </c>
      <c r="R136" s="181">
        <v>0</v>
      </c>
      <c r="S136" s="182">
        <f t="shared" si="9"/>
        <v>182497.93536000003</v>
      </c>
      <c r="T136" s="183"/>
    </row>
    <row r="137" spans="1:20" ht="11.25">
      <c r="A137" s="175" t="s">
        <v>270</v>
      </c>
      <c r="B137" s="175">
        <v>4</v>
      </c>
      <c r="C137" s="176" t="s">
        <v>469</v>
      </c>
      <c r="D137" s="176" t="s">
        <v>328</v>
      </c>
      <c r="E137" s="176" t="s">
        <v>329</v>
      </c>
      <c r="F137" s="176"/>
      <c r="G137" s="176" t="s">
        <v>324</v>
      </c>
      <c r="H137" s="178" t="s">
        <v>325</v>
      </c>
      <c r="I137" s="175" t="s">
        <v>231</v>
      </c>
      <c r="J137" s="179" t="s">
        <v>231</v>
      </c>
      <c r="K137" s="179"/>
      <c r="L137" s="176" t="s">
        <v>340</v>
      </c>
      <c r="M137" s="180">
        <f t="shared" si="8"/>
        <v>189797.85277440003</v>
      </c>
      <c r="N137" s="181">
        <v>0</v>
      </c>
      <c r="O137" s="181">
        <v>0</v>
      </c>
      <c r="P137" s="181">
        <v>0</v>
      </c>
      <c r="Q137" s="181">
        <v>0</v>
      </c>
      <c r="R137" s="181">
        <v>0</v>
      </c>
      <c r="S137" s="182">
        <f t="shared" si="9"/>
        <v>189797.85277440003</v>
      </c>
      <c r="T137" s="183"/>
    </row>
    <row r="138" spans="1:20" ht="11.25">
      <c r="A138" s="175" t="s">
        <v>271</v>
      </c>
      <c r="B138" s="175">
        <v>5</v>
      </c>
      <c r="C138" s="176" t="s">
        <v>469</v>
      </c>
      <c r="D138" s="176" t="s">
        <v>328</v>
      </c>
      <c r="E138" s="176" t="s">
        <v>329</v>
      </c>
      <c r="F138" s="176"/>
      <c r="G138" s="176" t="s">
        <v>324</v>
      </c>
      <c r="H138" s="178" t="s">
        <v>325</v>
      </c>
      <c r="I138" s="175" t="s">
        <v>231</v>
      </c>
      <c r="J138" s="179" t="s">
        <v>231</v>
      </c>
      <c r="K138" s="179"/>
      <c r="L138" s="176" t="s">
        <v>340</v>
      </c>
      <c r="M138" s="180">
        <f t="shared" si="8"/>
        <v>197389.76688537604</v>
      </c>
      <c r="N138" s="181">
        <v>0</v>
      </c>
      <c r="O138" s="181">
        <v>0</v>
      </c>
      <c r="P138" s="181">
        <v>0</v>
      </c>
      <c r="Q138" s="181">
        <v>0</v>
      </c>
      <c r="R138" s="181">
        <v>0</v>
      </c>
      <c r="S138" s="182">
        <f t="shared" si="9"/>
        <v>197389.76688537604</v>
      </c>
      <c r="T138" s="183"/>
    </row>
    <row r="139" spans="1:20" ht="11.25">
      <c r="A139" s="175" t="s">
        <v>272</v>
      </c>
      <c r="B139" s="175">
        <v>6</v>
      </c>
      <c r="C139" s="176" t="s">
        <v>469</v>
      </c>
      <c r="D139" s="176" t="s">
        <v>328</v>
      </c>
      <c r="E139" s="176" t="s">
        <v>329</v>
      </c>
      <c r="F139" s="176"/>
      <c r="G139" s="176" t="s">
        <v>324</v>
      </c>
      <c r="H139" s="178" t="s">
        <v>325</v>
      </c>
      <c r="I139" s="175" t="s">
        <v>231</v>
      </c>
      <c r="J139" s="179" t="s">
        <v>231</v>
      </c>
      <c r="K139" s="179"/>
      <c r="L139" s="176" t="s">
        <v>340</v>
      </c>
      <c r="M139" s="180">
        <f t="shared" si="8"/>
        <v>205285.35756079108</v>
      </c>
      <c r="N139" s="181">
        <v>0</v>
      </c>
      <c r="O139" s="181">
        <v>0</v>
      </c>
      <c r="P139" s="181">
        <v>0</v>
      </c>
      <c r="Q139" s="181">
        <v>0</v>
      </c>
      <c r="R139" s="181">
        <v>0</v>
      </c>
      <c r="S139" s="182">
        <f t="shared" si="9"/>
        <v>205285.35756079108</v>
      </c>
      <c r="T139" s="183"/>
    </row>
    <row r="140" spans="1:20" ht="11.25">
      <c r="A140" s="175" t="s">
        <v>273</v>
      </c>
      <c r="B140" s="175">
        <v>7</v>
      </c>
      <c r="C140" s="176" t="s">
        <v>469</v>
      </c>
      <c r="D140" s="176" t="s">
        <v>328</v>
      </c>
      <c r="E140" s="176" t="s">
        <v>329</v>
      </c>
      <c r="F140" s="176"/>
      <c r="G140" s="176" t="s">
        <v>324</v>
      </c>
      <c r="H140" s="178" t="s">
        <v>325</v>
      </c>
      <c r="I140" s="175" t="s">
        <v>231</v>
      </c>
      <c r="J140" s="179" t="s">
        <v>231</v>
      </c>
      <c r="K140" s="179"/>
      <c r="L140" s="176" t="s">
        <v>340</v>
      </c>
      <c r="M140" s="180">
        <f t="shared" si="8"/>
        <v>213496.77186322273</v>
      </c>
      <c r="N140" s="181">
        <v>0</v>
      </c>
      <c r="O140" s="181">
        <v>0</v>
      </c>
      <c r="P140" s="181">
        <v>0</v>
      </c>
      <c r="Q140" s="181">
        <v>0</v>
      </c>
      <c r="R140" s="181">
        <v>0</v>
      </c>
      <c r="S140" s="182">
        <f t="shared" si="9"/>
        <v>213496.77186322273</v>
      </c>
      <c r="T140" s="183"/>
    </row>
    <row r="141" spans="1:20" ht="11.25">
      <c r="A141" s="175" t="s">
        <v>274</v>
      </c>
      <c r="B141" s="175">
        <v>8</v>
      </c>
      <c r="C141" s="176" t="s">
        <v>469</v>
      </c>
      <c r="D141" s="176" t="s">
        <v>328</v>
      </c>
      <c r="E141" s="176" t="s">
        <v>329</v>
      </c>
      <c r="F141" s="176"/>
      <c r="G141" s="176" t="s">
        <v>324</v>
      </c>
      <c r="H141" s="178" t="s">
        <v>325</v>
      </c>
      <c r="I141" s="175" t="s">
        <v>231</v>
      </c>
      <c r="J141" s="179" t="s">
        <v>231</v>
      </c>
      <c r="K141" s="179"/>
      <c r="L141" s="176" t="s">
        <v>340</v>
      </c>
      <c r="M141" s="180">
        <f t="shared" si="8"/>
        <v>222036.64273775165</v>
      </c>
      <c r="N141" s="181">
        <v>0</v>
      </c>
      <c r="O141" s="181">
        <v>0</v>
      </c>
      <c r="P141" s="181">
        <v>0</v>
      </c>
      <c r="Q141" s="181">
        <v>0</v>
      </c>
      <c r="R141" s="181">
        <v>0</v>
      </c>
      <c r="S141" s="182">
        <f t="shared" si="9"/>
        <v>222036.64273775165</v>
      </c>
      <c r="T141" s="183"/>
    </row>
    <row r="142" spans="1:20" ht="11.25">
      <c r="A142" s="175" t="s">
        <v>275</v>
      </c>
      <c r="B142" s="175">
        <v>9</v>
      </c>
      <c r="C142" s="176" t="s">
        <v>469</v>
      </c>
      <c r="D142" s="176" t="s">
        <v>328</v>
      </c>
      <c r="E142" s="176" t="s">
        <v>329</v>
      </c>
      <c r="F142" s="176"/>
      <c r="G142" s="176" t="s">
        <v>324</v>
      </c>
      <c r="H142" s="178" t="s">
        <v>325</v>
      </c>
      <c r="I142" s="175" t="s">
        <v>231</v>
      </c>
      <c r="J142" s="179" t="s">
        <v>231</v>
      </c>
      <c r="K142" s="179"/>
      <c r="L142" s="176" t="s">
        <v>340</v>
      </c>
      <c r="M142" s="180">
        <f t="shared" si="8"/>
        <v>230918.10844726174</v>
      </c>
      <c r="N142" s="181">
        <v>0</v>
      </c>
      <c r="O142" s="181">
        <v>0</v>
      </c>
      <c r="P142" s="181">
        <v>0</v>
      </c>
      <c r="Q142" s="181">
        <v>0</v>
      </c>
      <c r="R142" s="181">
        <v>0</v>
      </c>
      <c r="S142" s="182">
        <f t="shared" si="9"/>
        <v>230918.10844726174</v>
      </c>
      <c r="T142" s="183"/>
    </row>
    <row r="143" spans="1:20" ht="11.25">
      <c r="A143" s="175" t="s">
        <v>276</v>
      </c>
      <c r="B143" s="175">
        <v>10</v>
      </c>
      <c r="C143" s="176" t="s">
        <v>469</v>
      </c>
      <c r="D143" s="176" t="s">
        <v>328</v>
      </c>
      <c r="E143" s="176" t="s">
        <v>329</v>
      </c>
      <c r="F143" s="176"/>
      <c r="G143" s="176" t="s">
        <v>324</v>
      </c>
      <c r="H143" s="178" t="s">
        <v>325</v>
      </c>
      <c r="I143" s="175" t="s">
        <v>231</v>
      </c>
      <c r="J143" s="179" t="s">
        <v>231</v>
      </c>
      <c r="K143" s="179"/>
      <c r="L143" s="176" t="s">
        <v>340</v>
      </c>
      <c r="M143" s="180">
        <f t="shared" si="8"/>
        <v>240154.83278515222</v>
      </c>
      <c r="N143" s="181">
        <v>0</v>
      </c>
      <c r="O143" s="181">
        <v>0</v>
      </c>
      <c r="P143" s="181">
        <v>0</v>
      </c>
      <c r="Q143" s="181">
        <v>0</v>
      </c>
      <c r="R143" s="181">
        <v>0</v>
      </c>
      <c r="S143" s="182">
        <f t="shared" si="9"/>
        <v>240154.83278515222</v>
      </c>
      <c r="T143" s="183"/>
    </row>
    <row r="144" spans="1:20" ht="11.25">
      <c r="A144" s="175" t="s">
        <v>277</v>
      </c>
      <c r="B144" s="175">
        <v>11</v>
      </c>
      <c r="C144" s="176" t="s">
        <v>469</v>
      </c>
      <c r="D144" s="176" t="s">
        <v>328</v>
      </c>
      <c r="E144" s="176" t="s">
        <v>329</v>
      </c>
      <c r="F144" s="176"/>
      <c r="G144" s="176" t="s">
        <v>324</v>
      </c>
      <c r="H144" s="178" t="s">
        <v>325</v>
      </c>
      <c r="I144" s="175" t="s">
        <v>231</v>
      </c>
      <c r="J144" s="179" t="s">
        <v>231</v>
      </c>
      <c r="K144" s="179"/>
      <c r="L144" s="176" t="s">
        <v>340</v>
      </c>
      <c r="M144" s="180">
        <f t="shared" si="8"/>
        <v>249761.02609655831</v>
      </c>
      <c r="N144" s="181">
        <v>0</v>
      </c>
      <c r="O144" s="181">
        <v>0</v>
      </c>
      <c r="P144" s="181">
        <v>0</v>
      </c>
      <c r="Q144" s="181">
        <v>0</v>
      </c>
      <c r="R144" s="181">
        <v>0</v>
      </c>
      <c r="S144" s="182">
        <f t="shared" si="9"/>
        <v>249761.02609655831</v>
      </c>
      <c r="T144" s="183"/>
    </row>
    <row r="145" spans="1:20" ht="11.25">
      <c r="A145" s="175" t="s">
        <v>278</v>
      </c>
      <c r="B145" s="175">
        <v>12</v>
      </c>
      <c r="C145" s="176" t="s">
        <v>469</v>
      </c>
      <c r="D145" s="176" t="s">
        <v>328</v>
      </c>
      <c r="E145" s="176" t="s">
        <v>329</v>
      </c>
      <c r="F145" s="176"/>
      <c r="G145" s="176" t="s">
        <v>324</v>
      </c>
      <c r="H145" s="178" t="s">
        <v>325</v>
      </c>
      <c r="I145" s="175" t="s">
        <v>231</v>
      </c>
      <c r="J145" s="179" t="s">
        <v>231</v>
      </c>
      <c r="K145" s="179"/>
      <c r="L145" s="176" t="s">
        <v>340</v>
      </c>
      <c r="M145" s="180">
        <f t="shared" si="8"/>
        <v>259751.46714042066</v>
      </c>
      <c r="N145" s="181">
        <v>0</v>
      </c>
      <c r="O145" s="181">
        <v>0</v>
      </c>
      <c r="P145" s="181">
        <v>0</v>
      </c>
      <c r="Q145" s="181">
        <v>0</v>
      </c>
      <c r="R145" s="181">
        <v>0</v>
      </c>
      <c r="S145" s="182">
        <f t="shared" si="9"/>
        <v>259751.46714042066</v>
      </c>
      <c r="T145" s="183"/>
    </row>
    <row r="146" spans="1:20" ht="11.25">
      <c r="A146" s="175" t="s">
        <v>279</v>
      </c>
      <c r="B146" s="175">
        <v>13</v>
      </c>
      <c r="C146" s="176" t="s">
        <v>469</v>
      </c>
      <c r="D146" s="176" t="s">
        <v>328</v>
      </c>
      <c r="E146" s="176" t="s">
        <v>329</v>
      </c>
      <c r="F146" s="176"/>
      <c r="G146" s="176" t="s">
        <v>324</v>
      </c>
      <c r="H146" s="178" t="s">
        <v>325</v>
      </c>
      <c r="I146" s="175" t="s">
        <v>231</v>
      </c>
      <c r="J146" s="179" t="s">
        <v>231</v>
      </c>
      <c r="K146" s="179"/>
      <c r="L146" s="176" t="s">
        <v>340</v>
      </c>
      <c r="M146" s="180">
        <f t="shared" si="8"/>
        <v>270141.5258260375</v>
      </c>
      <c r="N146" s="181">
        <v>0</v>
      </c>
      <c r="O146" s="181">
        <v>0</v>
      </c>
      <c r="P146" s="181">
        <v>0</v>
      </c>
      <c r="Q146" s="181">
        <v>0</v>
      </c>
      <c r="R146" s="181">
        <v>0</v>
      </c>
      <c r="S146" s="182">
        <f t="shared" si="9"/>
        <v>270141.5258260375</v>
      </c>
      <c r="T146" s="183"/>
    </row>
    <row r="147" spans="1:20" ht="11.25">
      <c r="A147" s="175" t="s">
        <v>280</v>
      </c>
      <c r="B147" s="175">
        <v>14</v>
      </c>
      <c r="C147" s="176" t="s">
        <v>469</v>
      </c>
      <c r="D147" s="176" t="s">
        <v>328</v>
      </c>
      <c r="E147" s="176" t="s">
        <v>329</v>
      </c>
      <c r="F147" s="176"/>
      <c r="G147" s="176" t="s">
        <v>324</v>
      </c>
      <c r="H147" s="178" t="s">
        <v>325</v>
      </c>
      <c r="I147" s="175" t="s">
        <v>231</v>
      </c>
      <c r="J147" s="179" t="s">
        <v>231</v>
      </c>
      <c r="K147" s="179"/>
      <c r="L147" s="176" t="s">
        <v>340</v>
      </c>
      <c r="M147" s="180">
        <f t="shared" si="8"/>
        <v>280947.186859079</v>
      </c>
      <c r="N147" s="181">
        <v>0</v>
      </c>
      <c r="O147" s="181">
        <v>0</v>
      </c>
      <c r="P147" s="181">
        <v>0</v>
      </c>
      <c r="Q147" s="181">
        <v>0</v>
      </c>
      <c r="R147" s="181">
        <v>0</v>
      </c>
      <c r="S147" s="182">
        <f t="shared" si="9"/>
        <v>280947.186859079</v>
      </c>
      <c r="T147" s="183"/>
    </row>
    <row r="148" spans="1:20" ht="11.25">
      <c r="A148" s="175" t="s">
        <v>281</v>
      </c>
      <c r="B148" s="175">
        <v>15</v>
      </c>
      <c r="C148" s="176" t="s">
        <v>469</v>
      </c>
      <c r="D148" s="176" t="s">
        <v>328</v>
      </c>
      <c r="E148" s="176" t="s">
        <v>329</v>
      </c>
      <c r="F148" s="176"/>
      <c r="G148" s="176" t="s">
        <v>324</v>
      </c>
      <c r="H148" s="178" t="s">
        <v>325</v>
      </c>
      <c r="I148" s="175" t="s">
        <v>231</v>
      </c>
      <c r="J148" s="179" t="s">
        <v>231</v>
      </c>
      <c r="K148" s="179"/>
      <c r="L148" s="176" t="s">
        <v>340</v>
      </c>
      <c r="M148" s="180">
        <f t="shared" si="8"/>
        <v>292185.07433344214</v>
      </c>
      <c r="N148" s="181">
        <v>0</v>
      </c>
      <c r="O148" s="181">
        <v>0</v>
      </c>
      <c r="P148" s="181">
        <v>0</v>
      </c>
      <c r="Q148" s="181">
        <v>0</v>
      </c>
      <c r="R148" s="181">
        <v>0</v>
      </c>
      <c r="S148" s="182">
        <f t="shared" si="9"/>
        <v>292185.07433344214</v>
      </c>
      <c r="T148" s="183"/>
    </row>
    <row r="149" spans="1:20" ht="11.25">
      <c r="A149" s="175" t="s">
        <v>282</v>
      </c>
      <c r="B149" s="175">
        <v>16</v>
      </c>
      <c r="C149" s="176" t="s">
        <v>469</v>
      </c>
      <c r="D149" s="176" t="s">
        <v>328</v>
      </c>
      <c r="E149" s="176" t="s">
        <v>329</v>
      </c>
      <c r="F149" s="176"/>
      <c r="G149" s="176" t="s">
        <v>324</v>
      </c>
      <c r="H149" s="178" t="s">
        <v>325</v>
      </c>
      <c r="I149" s="175" t="s">
        <v>231</v>
      </c>
      <c r="J149" s="179" t="s">
        <v>231</v>
      </c>
      <c r="K149" s="179"/>
      <c r="L149" s="176" t="s">
        <v>340</v>
      </c>
      <c r="M149" s="180">
        <f t="shared" si="8"/>
        <v>303872.4773067798</v>
      </c>
      <c r="N149" s="181">
        <v>0</v>
      </c>
      <c r="O149" s="181">
        <v>0</v>
      </c>
      <c r="P149" s="181">
        <v>0</v>
      </c>
      <c r="Q149" s="181">
        <v>0</v>
      </c>
      <c r="R149" s="181">
        <v>0</v>
      </c>
      <c r="S149" s="182">
        <f t="shared" si="9"/>
        <v>303872.4773067798</v>
      </c>
      <c r="T149" s="183"/>
    </row>
    <row r="150" spans="1:20" ht="11.25">
      <c r="A150" s="175" t="s">
        <v>283</v>
      </c>
      <c r="B150" s="175">
        <v>17</v>
      </c>
      <c r="C150" s="176" t="s">
        <v>469</v>
      </c>
      <c r="D150" s="176" t="s">
        <v>328</v>
      </c>
      <c r="E150" s="176" t="s">
        <v>329</v>
      </c>
      <c r="F150" s="176"/>
      <c r="G150" s="176" t="s">
        <v>324</v>
      </c>
      <c r="H150" s="178" t="s">
        <v>325</v>
      </c>
      <c r="I150" s="175" t="s">
        <v>231</v>
      </c>
      <c r="J150" s="179" t="s">
        <v>231</v>
      </c>
      <c r="K150" s="179"/>
      <c r="L150" s="176" t="s">
        <v>340</v>
      </c>
      <c r="M150" s="180">
        <f t="shared" si="8"/>
        <v>316027.37639905105</v>
      </c>
      <c r="N150" s="181">
        <v>0</v>
      </c>
      <c r="O150" s="181">
        <v>0</v>
      </c>
      <c r="P150" s="181">
        <v>0</v>
      </c>
      <c r="Q150" s="181">
        <v>0</v>
      </c>
      <c r="R150" s="181">
        <v>0</v>
      </c>
      <c r="S150" s="182">
        <f t="shared" si="9"/>
        <v>316027.37639905105</v>
      </c>
      <c r="T150" s="183"/>
    </row>
    <row r="151" spans="1:20" ht="11.25">
      <c r="A151" s="175" t="s">
        <v>284</v>
      </c>
      <c r="B151" s="175">
        <v>18</v>
      </c>
      <c r="C151" s="176" t="s">
        <v>469</v>
      </c>
      <c r="D151" s="176" t="s">
        <v>328</v>
      </c>
      <c r="E151" s="176" t="s">
        <v>329</v>
      </c>
      <c r="F151" s="176"/>
      <c r="G151" s="176" t="s">
        <v>324</v>
      </c>
      <c r="H151" s="178" t="s">
        <v>325</v>
      </c>
      <c r="I151" s="175" t="s">
        <v>231</v>
      </c>
      <c r="J151" s="179" t="s">
        <v>231</v>
      </c>
      <c r="K151" s="179"/>
      <c r="L151" s="176" t="s">
        <v>340</v>
      </c>
      <c r="M151" s="180">
        <f t="shared" si="8"/>
        <v>328668.4714550131</v>
      </c>
      <c r="N151" s="181">
        <v>0</v>
      </c>
      <c r="O151" s="181">
        <v>0</v>
      </c>
      <c r="P151" s="181">
        <v>0</v>
      </c>
      <c r="Q151" s="181">
        <v>0</v>
      </c>
      <c r="R151" s="181">
        <v>0</v>
      </c>
      <c r="S151" s="182">
        <f t="shared" si="9"/>
        <v>328668.4714550131</v>
      </c>
      <c r="T151" s="183"/>
    </row>
    <row r="152" spans="1:20" ht="11.25">
      <c r="A152" s="175" t="s">
        <v>285</v>
      </c>
      <c r="B152" s="175">
        <v>19</v>
      </c>
      <c r="C152" s="176" t="s">
        <v>469</v>
      </c>
      <c r="D152" s="176" t="s">
        <v>328</v>
      </c>
      <c r="E152" s="176" t="s">
        <v>329</v>
      </c>
      <c r="F152" s="176"/>
      <c r="G152" s="176" t="s">
        <v>324</v>
      </c>
      <c r="H152" s="178" t="s">
        <v>325</v>
      </c>
      <c r="I152" s="175" t="s">
        <v>231</v>
      </c>
      <c r="J152" s="179" t="s">
        <v>231</v>
      </c>
      <c r="K152" s="179"/>
      <c r="L152" s="176" t="s">
        <v>340</v>
      </c>
      <c r="M152" s="180">
        <f t="shared" si="8"/>
        <v>341815.21031321364</v>
      </c>
      <c r="N152" s="181">
        <v>0</v>
      </c>
      <c r="O152" s="181">
        <v>0</v>
      </c>
      <c r="P152" s="181">
        <v>0</v>
      </c>
      <c r="Q152" s="181">
        <v>0</v>
      </c>
      <c r="R152" s="181">
        <v>0</v>
      </c>
      <c r="S152" s="182">
        <f t="shared" si="9"/>
        <v>341815.21031321364</v>
      </c>
      <c r="T152" s="183"/>
    </row>
    <row r="153" spans="1:20" ht="11.25">
      <c r="A153" s="175" t="s">
        <v>303</v>
      </c>
      <c r="B153" s="175">
        <v>20</v>
      </c>
      <c r="C153" s="176" t="s">
        <v>469</v>
      </c>
      <c r="D153" s="176" t="s">
        <v>328</v>
      </c>
      <c r="E153" s="176" t="s">
        <v>329</v>
      </c>
      <c r="F153" s="176"/>
      <c r="G153" s="176" t="s">
        <v>324</v>
      </c>
      <c r="H153" s="178" t="s">
        <v>325</v>
      </c>
      <c r="I153" s="175" t="s">
        <v>231</v>
      </c>
      <c r="J153" s="179" t="s">
        <v>231</v>
      </c>
      <c r="K153" s="179"/>
      <c r="L153" s="176" t="s">
        <v>340</v>
      </c>
      <c r="M153" s="180">
        <f t="shared" si="8"/>
        <v>355487.8187257422</v>
      </c>
      <c r="N153" s="181">
        <v>0</v>
      </c>
      <c r="O153" s="181">
        <v>0</v>
      </c>
      <c r="P153" s="181">
        <v>0</v>
      </c>
      <c r="Q153" s="181">
        <v>0</v>
      </c>
      <c r="R153" s="181">
        <v>0</v>
      </c>
      <c r="S153" s="182">
        <f t="shared" si="9"/>
        <v>355487.8187257422</v>
      </c>
      <c r="T153" s="183"/>
    </row>
    <row r="154" spans="1:20" ht="11.25">
      <c r="A154" s="175" t="s">
        <v>265</v>
      </c>
      <c r="B154" s="175">
        <v>0</v>
      </c>
      <c r="C154" s="176" t="s">
        <v>341</v>
      </c>
      <c r="D154" s="176" t="s">
        <v>342</v>
      </c>
      <c r="E154" s="176" t="s">
        <v>343</v>
      </c>
      <c r="F154" s="176"/>
      <c r="G154" s="176" t="s">
        <v>324</v>
      </c>
      <c r="H154" s="178" t="s">
        <v>325</v>
      </c>
      <c r="I154" s="175" t="s">
        <v>231</v>
      </c>
      <c r="J154" s="179" t="s">
        <v>326</v>
      </c>
      <c r="K154" s="179"/>
      <c r="L154" s="176" t="s">
        <v>344</v>
      </c>
      <c r="M154" s="180">
        <v>383800</v>
      </c>
      <c r="N154" s="181">
        <v>0</v>
      </c>
      <c r="O154" s="181">
        <v>0</v>
      </c>
      <c r="P154" s="181">
        <v>0</v>
      </c>
      <c r="Q154" s="181">
        <v>0</v>
      </c>
      <c r="R154" s="181">
        <v>0</v>
      </c>
      <c r="S154" s="182">
        <f t="shared" si="9"/>
        <v>383800</v>
      </c>
      <c r="T154" s="183"/>
    </row>
    <row r="155" spans="1:20" ht="11.25">
      <c r="A155" s="175" t="s">
        <v>267</v>
      </c>
      <c r="B155" s="175">
        <v>1</v>
      </c>
      <c r="C155" s="176" t="s">
        <v>341</v>
      </c>
      <c r="D155" s="176" t="s">
        <v>342</v>
      </c>
      <c r="E155" s="176" t="s">
        <v>343</v>
      </c>
      <c r="F155" s="176"/>
      <c r="G155" s="176" t="s">
        <v>324</v>
      </c>
      <c r="H155" s="178" t="s">
        <v>325</v>
      </c>
      <c r="I155" s="175" t="s">
        <v>231</v>
      </c>
      <c r="J155" s="179" t="s">
        <v>231</v>
      </c>
      <c r="K155" s="179"/>
      <c r="L155" s="176" t="s">
        <v>344</v>
      </c>
      <c r="M155" s="180">
        <v>476550</v>
      </c>
      <c r="N155" s="181">
        <v>0</v>
      </c>
      <c r="O155" s="181">
        <v>0</v>
      </c>
      <c r="P155" s="181">
        <v>0</v>
      </c>
      <c r="Q155" s="181">
        <v>0</v>
      </c>
      <c r="R155" s="181">
        <v>0</v>
      </c>
      <c r="S155" s="182">
        <f t="shared" si="9"/>
        <v>476550</v>
      </c>
      <c r="T155" s="183"/>
    </row>
    <row r="156" spans="1:20" ht="11.25">
      <c r="A156" s="175" t="s">
        <v>268</v>
      </c>
      <c r="B156" s="175">
        <v>2</v>
      </c>
      <c r="C156" s="176" t="s">
        <v>341</v>
      </c>
      <c r="D156" s="176" t="s">
        <v>342</v>
      </c>
      <c r="E156" s="176" t="s">
        <v>343</v>
      </c>
      <c r="F156" s="176"/>
      <c r="G156" s="176" t="s">
        <v>324</v>
      </c>
      <c r="H156" s="178" t="s">
        <v>325</v>
      </c>
      <c r="I156" s="175" t="s">
        <v>231</v>
      </c>
      <c r="J156" s="179" t="s">
        <v>231</v>
      </c>
      <c r="K156" s="179"/>
      <c r="L156" s="176" t="s">
        <v>344</v>
      </c>
      <c r="M156" s="180">
        <f aca="true" t="shared" si="10" ref="M156:M174">IF(J156="Y",M155*(1+$C$4),IF(J156="I",M155*(1+$E$4),M155))</f>
        <v>495612</v>
      </c>
      <c r="N156" s="181">
        <v>0</v>
      </c>
      <c r="O156" s="181">
        <v>0</v>
      </c>
      <c r="P156" s="181">
        <v>0</v>
      </c>
      <c r="Q156" s="181">
        <v>0</v>
      </c>
      <c r="R156" s="181">
        <v>0</v>
      </c>
      <c r="S156" s="182">
        <f t="shared" si="9"/>
        <v>495612</v>
      </c>
      <c r="T156" s="183"/>
    </row>
    <row r="157" spans="1:20" ht="11.25">
      <c r="A157" s="175" t="s">
        <v>269</v>
      </c>
      <c r="B157" s="175">
        <v>3</v>
      </c>
      <c r="C157" s="176" t="s">
        <v>341</v>
      </c>
      <c r="D157" s="176" t="s">
        <v>342</v>
      </c>
      <c r="E157" s="176" t="s">
        <v>343</v>
      </c>
      <c r="F157" s="176"/>
      <c r="G157" s="176" t="s">
        <v>324</v>
      </c>
      <c r="H157" s="178" t="s">
        <v>325</v>
      </c>
      <c r="I157" s="175" t="s">
        <v>231</v>
      </c>
      <c r="J157" s="179" t="s">
        <v>231</v>
      </c>
      <c r="K157" s="179"/>
      <c r="L157" s="176" t="s">
        <v>344</v>
      </c>
      <c r="M157" s="180">
        <f t="shared" si="10"/>
        <v>515436.48000000004</v>
      </c>
      <c r="N157" s="181">
        <v>0</v>
      </c>
      <c r="O157" s="181">
        <v>0</v>
      </c>
      <c r="P157" s="181">
        <v>0</v>
      </c>
      <c r="Q157" s="181">
        <v>0</v>
      </c>
      <c r="R157" s="181">
        <v>0</v>
      </c>
      <c r="S157" s="182">
        <f t="shared" si="9"/>
        <v>515436.48000000004</v>
      </c>
      <c r="T157" s="183"/>
    </row>
    <row r="158" spans="1:20" ht="11.25">
      <c r="A158" s="175" t="s">
        <v>270</v>
      </c>
      <c r="B158" s="175">
        <v>4</v>
      </c>
      <c r="C158" s="176" t="s">
        <v>341</v>
      </c>
      <c r="D158" s="176" t="s">
        <v>342</v>
      </c>
      <c r="E158" s="176" t="s">
        <v>343</v>
      </c>
      <c r="F158" s="176"/>
      <c r="G158" s="176" t="s">
        <v>324</v>
      </c>
      <c r="H158" s="178" t="s">
        <v>325</v>
      </c>
      <c r="I158" s="175" t="s">
        <v>231</v>
      </c>
      <c r="J158" s="179" t="s">
        <v>231</v>
      </c>
      <c r="K158" s="179"/>
      <c r="L158" s="176" t="s">
        <v>344</v>
      </c>
      <c r="M158" s="180">
        <f t="shared" si="10"/>
        <v>536053.9392</v>
      </c>
      <c r="N158" s="181">
        <v>0</v>
      </c>
      <c r="O158" s="181">
        <v>0</v>
      </c>
      <c r="P158" s="181">
        <v>0</v>
      </c>
      <c r="Q158" s="181">
        <v>0</v>
      </c>
      <c r="R158" s="181">
        <v>0</v>
      </c>
      <c r="S158" s="182">
        <f t="shared" si="9"/>
        <v>536053.9392</v>
      </c>
      <c r="T158" s="183"/>
    </row>
    <row r="159" spans="1:20" ht="11.25">
      <c r="A159" s="175" t="s">
        <v>271</v>
      </c>
      <c r="B159" s="175">
        <v>5</v>
      </c>
      <c r="C159" s="176" t="s">
        <v>341</v>
      </c>
      <c r="D159" s="176" t="s">
        <v>342</v>
      </c>
      <c r="E159" s="176" t="s">
        <v>343</v>
      </c>
      <c r="F159" s="176"/>
      <c r="G159" s="176" t="s">
        <v>324</v>
      </c>
      <c r="H159" s="178" t="s">
        <v>325</v>
      </c>
      <c r="I159" s="175" t="s">
        <v>231</v>
      </c>
      <c r="J159" s="179" t="s">
        <v>231</v>
      </c>
      <c r="K159" s="179"/>
      <c r="L159" s="176" t="s">
        <v>344</v>
      </c>
      <c r="M159" s="180">
        <f t="shared" si="10"/>
        <v>557496.096768</v>
      </c>
      <c r="N159" s="181">
        <v>0</v>
      </c>
      <c r="O159" s="181">
        <v>0</v>
      </c>
      <c r="P159" s="181">
        <v>0</v>
      </c>
      <c r="Q159" s="181">
        <v>0</v>
      </c>
      <c r="R159" s="181">
        <v>0</v>
      </c>
      <c r="S159" s="182">
        <f t="shared" si="9"/>
        <v>557496.096768</v>
      </c>
      <c r="T159" s="183"/>
    </row>
    <row r="160" spans="1:20" ht="11.25">
      <c r="A160" s="175" t="s">
        <v>272</v>
      </c>
      <c r="B160" s="175">
        <v>6</v>
      </c>
      <c r="C160" s="176" t="s">
        <v>341</v>
      </c>
      <c r="D160" s="176" t="s">
        <v>342</v>
      </c>
      <c r="E160" s="176" t="s">
        <v>343</v>
      </c>
      <c r="F160" s="176"/>
      <c r="G160" s="176" t="s">
        <v>324</v>
      </c>
      <c r="H160" s="178" t="s">
        <v>325</v>
      </c>
      <c r="I160" s="175" t="s">
        <v>231</v>
      </c>
      <c r="J160" s="179" t="s">
        <v>231</v>
      </c>
      <c r="K160" s="179"/>
      <c r="L160" s="176" t="s">
        <v>344</v>
      </c>
      <c r="M160" s="180">
        <f t="shared" si="10"/>
        <v>579795.94063872</v>
      </c>
      <c r="N160" s="181">
        <v>0</v>
      </c>
      <c r="O160" s="181">
        <v>0</v>
      </c>
      <c r="P160" s="181">
        <v>0</v>
      </c>
      <c r="Q160" s="181">
        <v>0</v>
      </c>
      <c r="R160" s="181">
        <v>0</v>
      </c>
      <c r="S160" s="182">
        <f t="shared" si="9"/>
        <v>579795.94063872</v>
      </c>
      <c r="T160" s="183"/>
    </row>
    <row r="161" spans="1:20" ht="11.25">
      <c r="A161" s="175" t="s">
        <v>273</v>
      </c>
      <c r="B161" s="175">
        <v>7</v>
      </c>
      <c r="C161" s="176" t="s">
        <v>341</v>
      </c>
      <c r="D161" s="176" t="s">
        <v>342</v>
      </c>
      <c r="E161" s="176" t="s">
        <v>343</v>
      </c>
      <c r="F161" s="176"/>
      <c r="G161" s="176" t="s">
        <v>324</v>
      </c>
      <c r="H161" s="178" t="s">
        <v>325</v>
      </c>
      <c r="I161" s="175" t="s">
        <v>231</v>
      </c>
      <c r="J161" s="179" t="s">
        <v>231</v>
      </c>
      <c r="K161" s="179"/>
      <c r="L161" s="176" t="s">
        <v>344</v>
      </c>
      <c r="M161" s="180">
        <f t="shared" si="10"/>
        <v>602987.7782642689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82">
        <f t="shared" si="9"/>
        <v>602987.7782642689</v>
      </c>
      <c r="T161" s="183"/>
    </row>
    <row r="162" spans="1:20" ht="11.25">
      <c r="A162" s="175" t="s">
        <v>274</v>
      </c>
      <c r="B162" s="175">
        <v>8</v>
      </c>
      <c r="C162" s="176" t="s">
        <v>341</v>
      </c>
      <c r="D162" s="176" t="s">
        <v>342</v>
      </c>
      <c r="E162" s="176" t="s">
        <v>343</v>
      </c>
      <c r="F162" s="176"/>
      <c r="G162" s="176" t="s">
        <v>324</v>
      </c>
      <c r="H162" s="178" t="s">
        <v>325</v>
      </c>
      <c r="I162" s="175" t="s">
        <v>231</v>
      </c>
      <c r="J162" s="179" t="s">
        <v>231</v>
      </c>
      <c r="K162" s="179"/>
      <c r="L162" s="176" t="s">
        <v>344</v>
      </c>
      <c r="M162" s="180">
        <f t="shared" si="10"/>
        <v>627107.2893948397</v>
      </c>
      <c r="N162" s="181">
        <v>0</v>
      </c>
      <c r="O162" s="181">
        <v>0</v>
      </c>
      <c r="P162" s="181">
        <v>0</v>
      </c>
      <c r="Q162" s="181">
        <v>0</v>
      </c>
      <c r="R162" s="181">
        <v>0</v>
      </c>
      <c r="S162" s="182">
        <f t="shared" si="9"/>
        <v>627107.2893948397</v>
      </c>
      <c r="T162" s="183"/>
    </row>
    <row r="163" spans="1:20" ht="11.25">
      <c r="A163" s="175" t="s">
        <v>275</v>
      </c>
      <c r="B163" s="175">
        <v>9</v>
      </c>
      <c r="C163" s="176" t="s">
        <v>341</v>
      </c>
      <c r="D163" s="176" t="s">
        <v>342</v>
      </c>
      <c r="E163" s="176" t="s">
        <v>343</v>
      </c>
      <c r="F163" s="176"/>
      <c r="G163" s="176" t="s">
        <v>324</v>
      </c>
      <c r="H163" s="178" t="s">
        <v>325</v>
      </c>
      <c r="I163" s="175" t="s">
        <v>231</v>
      </c>
      <c r="J163" s="179" t="s">
        <v>231</v>
      </c>
      <c r="K163" s="179"/>
      <c r="L163" s="176" t="s">
        <v>344</v>
      </c>
      <c r="M163" s="180">
        <f t="shared" si="10"/>
        <v>652191.5809706333</v>
      </c>
      <c r="N163" s="181">
        <v>0</v>
      </c>
      <c r="O163" s="181">
        <v>0</v>
      </c>
      <c r="P163" s="181">
        <v>0</v>
      </c>
      <c r="Q163" s="181">
        <v>0</v>
      </c>
      <c r="R163" s="181">
        <v>0</v>
      </c>
      <c r="S163" s="182">
        <f t="shared" si="9"/>
        <v>652191.5809706333</v>
      </c>
      <c r="T163" s="183"/>
    </row>
    <row r="164" spans="1:20" ht="11.25">
      <c r="A164" s="175" t="s">
        <v>276</v>
      </c>
      <c r="B164" s="175">
        <v>10</v>
      </c>
      <c r="C164" s="176" t="s">
        <v>341</v>
      </c>
      <c r="D164" s="176" t="s">
        <v>342</v>
      </c>
      <c r="E164" s="176" t="s">
        <v>343</v>
      </c>
      <c r="F164" s="176"/>
      <c r="G164" s="176" t="s">
        <v>324</v>
      </c>
      <c r="H164" s="178" t="s">
        <v>325</v>
      </c>
      <c r="I164" s="175" t="s">
        <v>231</v>
      </c>
      <c r="J164" s="179" t="s">
        <v>231</v>
      </c>
      <c r="K164" s="179"/>
      <c r="L164" s="176" t="s">
        <v>344</v>
      </c>
      <c r="M164" s="180">
        <f t="shared" si="10"/>
        <v>678279.2442094587</v>
      </c>
      <c r="N164" s="181">
        <v>0</v>
      </c>
      <c r="O164" s="181">
        <v>0</v>
      </c>
      <c r="P164" s="181">
        <v>0</v>
      </c>
      <c r="Q164" s="181">
        <v>0</v>
      </c>
      <c r="R164" s="181">
        <v>0</v>
      </c>
      <c r="S164" s="182">
        <f t="shared" si="9"/>
        <v>678279.2442094587</v>
      </c>
      <c r="T164" s="183"/>
    </row>
    <row r="165" spans="1:20" ht="11.25">
      <c r="A165" s="175" t="s">
        <v>277</v>
      </c>
      <c r="B165" s="175">
        <v>11</v>
      </c>
      <c r="C165" s="176" t="s">
        <v>341</v>
      </c>
      <c r="D165" s="176" t="s">
        <v>342</v>
      </c>
      <c r="E165" s="176" t="s">
        <v>343</v>
      </c>
      <c r="F165" s="176"/>
      <c r="G165" s="176" t="s">
        <v>324</v>
      </c>
      <c r="H165" s="178" t="s">
        <v>325</v>
      </c>
      <c r="I165" s="175" t="s">
        <v>231</v>
      </c>
      <c r="J165" s="179" t="s">
        <v>231</v>
      </c>
      <c r="K165" s="179"/>
      <c r="L165" s="176" t="s">
        <v>344</v>
      </c>
      <c r="M165" s="180">
        <f t="shared" si="10"/>
        <v>705410.4139778371</v>
      </c>
      <c r="N165" s="181">
        <v>0</v>
      </c>
      <c r="O165" s="181">
        <v>0</v>
      </c>
      <c r="P165" s="181">
        <v>0</v>
      </c>
      <c r="Q165" s="181">
        <v>0</v>
      </c>
      <c r="R165" s="181">
        <v>0</v>
      </c>
      <c r="S165" s="182">
        <f t="shared" si="9"/>
        <v>705410.4139778371</v>
      </c>
      <c r="T165" s="183"/>
    </row>
    <row r="166" spans="1:20" ht="11.25">
      <c r="A166" s="175" t="s">
        <v>278</v>
      </c>
      <c r="B166" s="175">
        <v>12</v>
      </c>
      <c r="C166" s="176" t="s">
        <v>341</v>
      </c>
      <c r="D166" s="176" t="s">
        <v>342</v>
      </c>
      <c r="E166" s="176" t="s">
        <v>343</v>
      </c>
      <c r="F166" s="176"/>
      <c r="G166" s="176" t="s">
        <v>324</v>
      </c>
      <c r="H166" s="178" t="s">
        <v>325</v>
      </c>
      <c r="I166" s="175" t="s">
        <v>231</v>
      </c>
      <c r="J166" s="179" t="s">
        <v>231</v>
      </c>
      <c r="K166" s="179"/>
      <c r="L166" s="176" t="s">
        <v>344</v>
      </c>
      <c r="M166" s="180">
        <f t="shared" si="10"/>
        <v>733626.8305369506</v>
      </c>
      <c r="N166" s="181">
        <v>0</v>
      </c>
      <c r="O166" s="181">
        <v>0</v>
      </c>
      <c r="P166" s="181">
        <v>0</v>
      </c>
      <c r="Q166" s="181">
        <v>0</v>
      </c>
      <c r="R166" s="181">
        <v>0</v>
      </c>
      <c r="S166" s="182">
        <f t="shared" si="9"/>
        <v>733626.8305369506</v>
      </c>
      <c r="T166" s="183"/>
    </row>
    <row r="167" spans="1:20" ht="11.25">
      <c r="A167" s="175" t="s">
        <v>279</v>
      </c>
      <c r="B167" s="175">
        <v>13</v>
      </c>
      <c r="C167" s="176" t="s">
        <v>341</v>
      </c>
      <c r="D167" s="176" t="s">
        <v>342</v>
      </c>
      <c r="E167" s="176" t="s">
        <v>343</v>
      </c>
      <c r="F167" s="176"/>
      <c r="G167" s="176" t="s">
        <v>324</v>
      </c>
      <c r="H167" s="178" t="s">
        <v>325</v>
      </c>
      <c r="I167" s="175" t="s">
        <v>231</v>
      </c>
      <c r="J167" s="179" t="s">
        <v>231</v>
      </c>
      <c r="K167" s="179"/>
      <c r="L167" s="176" t="s">
        <v>344</v>
      </c>
      <c r="M167" s="180">
        <f t="shared" si="10"/>
        <v>762971.9037584286</v>
      </c>
      <c r="N167" s="181">
        <v>0</v>
      </c>
      <c r="O167" s="181">
        <v>0</v>
      </c>
      <c r="P167" s="181">
        <v>0</v>
      </c>
      <c r="Q167" s="181">
        <v>0</v>
      </c>
      <c r="R167" s="181">
        <v>0</v>
      </c>
      <c r="S167" s="182">
        <f t="shared" si="9"/>
        <v>762971.9037584286</v>
      </c>
      <c r="T167" s="183"/>
    </row>
    <row r="168" spans="1:20" ht="11.25">
      <c r="A168" s="175" t="s">
        <v>280</v>
      </c>
      <c r="B168" s="175">
        <v>14</v>
      </c>
      <c r="C168" s="176" t="s">
        <v>341</v>
      </c>
      <c r="D168" s="176" t="s">
        <v>342</v>
      </c>
      <c r="E168" s="176" t="s">
        <v>343</v>
      </c>
      <c r="F168" s="176"/>
      <c r="G168" s="176" t="s">
        <v>324</v>
      </c>
      <c r="H168" s="178" t="s">
        <v>325</v>
      </c>
      <c r="I168" s="175" t="s">
        <v>231</v>
      </c>
      <c r="J168" s="179" t="s">
        <v>231</v>
      </c>
      <c r="K168" s="179"/>
      <c r="L168" s="176" t="s">
        <v>344</v>
      </c>
      <c r="M168" s="180">
        <f t="shared" si="10"/>
        <v>793490.7799087658</v>
      </c>
      <c r="N168" s="181">
        <v>0</v>
      </c>
      <c r="O168" s="181">
        <v>0</v>
      </c>
      <c r="P168" s="181">
        <v>0</v>
      </c>
      <c r="Q168" s="181">
        <v>0</v>
      </c>
      <c r="R168" s="181">
        <v>0</v>
      </c>
      <c r="S168" s="182">
        <f t="shared" si="9"/>
        <v>793490.7799087658</v>
      </c>
      <c r="T168" s="183"/>
    </row>
    <row r="169" spans="1:20" ht="11.25">
      <c r="A169" s="175" t="s">
        <v>281</v>
      </c>
      <c r="B169" s="175">
        <v>15</v>
      </c>
      <c r="C169" s="176" t="s">
        <v>341</v>
      </c>
      <c r="D169" s="176" t="s">
        <v>342</v>
      </c>
      <c r="E169" s="176" t="s">
        <v>343</v>
      </c>
      <c r="F169" s="176"/>
      <c r="G169" s="176" t="s">
        <v>324</v>
      </c>
      <c r="H169" s="178" t="s">
        <v>325</v>
      </c>
      <c r="I169" s="175" t="s">
        <v>231</v>
      </c>
      <c r="J169" s="179" t="s">
        <v>231</v>
      </c>
      <c r="K169" s="179"/>
      <c r="L169" s="176" t="s">
        <v>344</v>
      </c>
      <c r="M169" s="180">
        <f t="shared" si="10"/>
        <v>825230.4111051165</v>
      </c>
      <c r="N169" s="181">
        <v>0</v>
      </c>
      <c r="O169" s="181">
        <v>0</v>
      </c>
      <c r="P169" s="181">
        <v>0</v>
      </c>
      <c r="Q169" s="181">
        <v>0</v>
      </c>
      <c r="R169" s="181">
        <v>0</v>
      </c>
      <c r="S169" s="182">
        <f t="shared" si="9"/>
        <v>825230.4111051165</v>
      </c>
      <c r="T169" s="183"/>
    </row>
    <row r="170" spans="1:20" ht="11.25">
      <c r="A170" s="175" t="s">
        <v>282</v>
      </c>
      <c r="B170" s="175">
        <v>16</v>
      </c>
      <c r="C170" s="176" t="s">
        <v>341</v>
      </c>
      <c r="D170" s="176" t="s">
        <v>342</v>
      </c>
      <c r="E170" s="176" t="s">
        <v>343</v>
      </c>
      <c r="F170" s="176"/>
      <c r="G170" s="176" t="s">
        <v>324</v>
      </c>
      <c r="H170" s="178" t="s">
        <v>325</v>
      </c>
      <c r="I170" s="175" t="s">
        <v>231</v>
      </c>
      <c r="J170" s="179" t="s">
        <v>231</v>
      </c>
      <c r="K170" s="179"/>
      <c r="L170" s="176" t="s">
        <v>344</v>
      </c>
      <c r="M170" s="180">
        <f t="shared" si="10"/>
        <v>858239.6275493212</v>
      </c>
      <c r="N170" s="181">
        <v>0</v>
      </c>
      <c r="O170" s="181">
        <v>0</v>
      </c>
      <c r="P170" s="181">
        <v>0</v>
      </c>
      <c r="Q170" s="181">
        <v>0</v>
      </c>
      <c r="R170" s="181">
        <v>0</v>
      </c>
      <c r="S170" s="182">
        <f t="shared" si="9"/>
        <v>858239.6275493212</v>
      </c>
      <c r="T170" s="183"/>
    </row>
    <row r="171" spans="1:20" ht="11.25">
      <c r="A171" s="175" t="s">
        <v>283</v>
      </c>
      <c r="B171" s="175">
        <v>17</v>
      </c>
      <c r="C171" s="176" t="s">
        <v>341</v>
      </c>
      <c r="D171" s="176" t="s">
        <v>342</v>
      </c>
      <c r="E171" s="176" t="s">
        <v>343</v>
      </c>
      <c r="F171" s="176"/>
      <c r="G171" s="176" t="s">
        <v>324</v>
      </c>
      <c r="H171" s="178" t="s">
        <v>325</v>
      </c>
      <c r="I171" s="175" t="s">
        <v>231</v>
      </c>
      <c r="J171" s="179" t="s">
        <v>231</v>
      </c>
      <c r="K171" s="179"/>
      <c r="L171" s="176" t="s">
        <v>344</v>
      </c>
      <c r="M171" s="180">
        <f t="shared" si="10"/>
        <v>892569.2126512941</v>
      </c>
      <c r="N171" s="181">
        <v>0</v>
      </c>
      <c r="O171" s="181">
        <v>0</v>
      </c>
      <c r="P171" s="181">
        <v>0</v>
      </c>
      <c r="Q171" s="181">
        <v>0</v>
      </c>
      <c r="R171" s="181">
        <v>0</v>
      </c>
      <c r="S171" s="182">
        <f t="shared" si="9"/>
        <v>892569.2126512941</v>
      </c>
      <c r="T171" s="183"/>
    </row>
    <row r="172" spans="1:20" ht="11.25">
      <c r="A172" s="175" t="s">
        <v>284</v>
      </c>
      <c r="B172" s="175">
        <v>18</v>
      </c>
      <c r="C172" s="176" t="s">
        <v>341</v>
      </c>
      <c r="D172" s="176" t="s">
        <v>342</v>
      </c>
      <c r="E172" s="176" t="s">
        <v>343</v>
      </c>
      <c r="F172" s="176"/>
      <c r="G172" s="176" t="s">
        <v>324</v>
      </c>
      <c r="H172" s="178" t="s">
        <v>325</v>
      </c>
      <c r="I172" s="175" t="s">
        <v>231</v>
      </c>
      <c r="J172" s="179" t="s">
        <v>231</v>
      </c>
      <c r="K172" s="179"/>
      <c r="L172" s="176" t="s">
        <v>344</v>
      </c>
      <c r="M172" s="180">
        <f t="shared" si="10"/>
        <v>928271.9811573458</v>
      </c>
      <c r="N172" s="181">
        <v>0</v>
      </c>
      <c r="O172" s="181">
        <v>0</v>
      </c>
      <c r="P172" s="181">
        <v>0</v>
      </c>
      <c r="Q172" s="181">
        <v>0</v>
      </c>
      <c r="R172" s="181">
        <v>0</v>
      </c>
      <c r="S172" s="182">
        <f t="shared" si="9"/>
        <v>928271.9811573458</v>
      </c>
      <c r="T172" s="183"/>
    </row>
    <row r="173" spans="1:20" ht="11.25">
      <c r="A173" s="175" t="s">
        <v>285</v>
      </c>
      <c r="B173" s="175">
        <v>19</v>
      </c>
      <c r="C173" s="176" t="s">
        <v>341</v>
      </c>
      <c r="D173" s="176" t="s">
        <v>342</v>
      </c>
      <c r="E173" s="176" t="s">
        <v>343</v>
      </c>
      <c r="F173" s="176"/>
      <c r="G173" s="176" t="s">
        <v>324</v>
      </c>
      <c r="H173" s="178" t="s">
        <v>325</v>
      </c>
      <c r="I173" s="175" t="s">
        <v>231</v>
      </c>
      <c r="J173" s="179" t="s">
        <v>231</v>
      </c>
      <c r="K173" s="179"/>
      <c r="L173" s="176" t="s">
        <v>344</v>
      </c>
      <c r="M173" s="180">
        <f t="shared" si="10"/>
        <v>965402.8604036397</v>
      </c>
      <c r="N173" s="181">
        <v>0</v>
      </c>
      <c r="O173" s="181">
        <v>0</v>
      </c>
      <c r="P173" s="181">
        <v>0</v>
      </c>
      <c r="Q173" s="181">
        <v>0</v>
      </c>
      <c r="R173" s="181">
        <v>0</v>
      </c>
      <c r="S173" s="182">
        <f t="shared" si="9"/>
        <v>965402.8604036397</v>
      </c>
      <c r="T173" s="183"/>
    </row>
    <row r="174" spans="1:20" ht="11.25">
      <c r="A174" s="175" t="s">
        <v>303</v>
      </c>
      <c r="B174" s="175">
        <v>20</v>
      </c>
      <c r="C174" s="176" t="s">
        <v>341</v>
      </c>
      <c r="D174" s="176" t="s">
        <v>342</v>
      </c>
      <c r="E174" s="176" t="s">
        <v>343</v>
      </c>
      <c r="F174" s="176"/>
      <c r="G174" s="176" t="s">
        <v>324</v>
      </c>
      <c r="H174" s="178" t="s">
        <v>325</v>
      </c>
      <c r="I174" s="175" t="s">
        <v>231</v>
      </c>
      <c r="J174" s="179" t="s">
        <v>231</v>
      </c>
      <c r="K174" s="179"/>
      <c r="L174" s="176" t="s">
        <v>344</v>
      </c>
      <c r="M174" s="180">
        <f t="shared" si="10"/>
        <v>1004018.9748197853</v>
      </c>
      <c r="N174" s="181">
        <v>0</v>
      </c>
      <c r="O174" s="181">
        <v>0</v>
      </c>
      <c r="P174" s="181">
        <v>0</v>
      </c>
      <c r="Q174" s="181">
        <v>0</v>
      </c>
      <c r="R174" s="181">
        <v>0</v>
      </c>
      <c r="S174" s="182">
        <f t="shared" si="9"/>
        <v>1004018.9748197853</v>
      </c>
      <c r="T174" s="183"/>
    </row>
    <row r="175" spans="1:20" ht="11.25">
      <c r="A175" s="175" t="s">
        <v>265</v>
      </c>
      <c r="B175" s="175">
        <v>0</v>
      </c>
      <c r="C175" s="176" t="s">
        <v>469</v>
      </c>
      <c r="D175" s="176" t="s">
        <v>331</v>
      </c>
      <c r="E175" s="176" t="s">
        <v>345</v>
      </c>
      <c r="F175" s="176"/>
      <c r="G175" s="176" t="s">
        <v>324</v>
      </c>
      <c r="H175" s="178" t="s">
        <v>325</v>
      </c>
      <c r="I175" s="175" t="s">
        <v>231</v>
      </c>
      <c r="J175" s="179" t="s">
        <v>326</v>
      </c>
      <c r="K175" s="179"/>
      <c r="L175" s="176" t="s">
        <v>346</v>
      </c>
      <c r="M175" s="180">
        <v>1100000</v>
      </c>
      <c r="N175" s="181">
        <v>0</v>
      </c>
      <c r="O175" s="181">
        <v>0</v>
      </c>
      <c r="P175" s="181">
        <v>0</v>
      </c>
      <c r="Q175" s="181">
        <v>0</v>
      </c>
      <c r="R175" s="181">
        <v>0</v>
      </c>
      <c r="S175" s="182">
        <f t="shared" si="9"/>
        <v>1100000</v>
      </c>
      <c r="T175" s="183"/>
    </row>
    <row r="176" spans="1:20" ht="11.25">
      <c r="A176" s="175" t="s">
        <v>267</v>
      </c>
      <c r="B176" s="175">
        <v>1</v>
      </c>
      <c r="C176" s="176" t="s">
        <v>469</v>
      </c>
      <c r="D176" s="176" t="s">
        <v>331</v>
      </c>
      <c r="E176" s="176" t="s">
        <v>345</v>
      </c>
      <c r="F176" s="176"/>
      <c r="G176" s="176" t="s">
        <v>324</v>
      </c>
      <c r="H176" s="178" t="s">
        <v>325</v>
      </c>
      <c r="I176" s="175" t="s">
        <v>231</v>
      </c>
      <c r="J176" s="179" t="s">
        <v>231</v>
      </c>
      <c r="K176" s="179"/>
      <c r="L176" s="176" t="s">
        <v>346</v>
      </c>
      <c r="M176" s="180">
        <f>IF(J176="Y",M175*(1+$F$4),IF(J176="I",M175*(1+$E$4),M175))-289000</f>
        <v>855000</v>
      </c>
      <c r="N176" s="181">
        <v>0</v>
      </c>
      <c r="O176" s="181">
        <v>0</v>
      </c>
      <c r="P176" s="181">
        <v>0</v>
      </c>
      <c r="Q176" s="181">
        <v>0</v>
      </c>
      <c r="R176" s="181">
        <v>0</v>
      </c>
      <c r="S176" s="182">
        <f t="shared" si="9"/>
        <v>855000</v>
      </c>
      <c r="T176" s="183"/>
    </row>
    <row r="177" spans="1:20" ht="11.25">
      <c r="A177" s="175" t="s">
        <v>268</v>
      </c>
      <c r="B177" s="175">
        <v>2</v>
      </c>
      <c r="C177" s="176" t="s">
        <v>469</v>
      </c>
      <c r="D177" s="176" t="s">
        <v>331</v>
      </c>
      <c r="E177" s="176" t="s">
        <v>345</v>
      </c>
      <c r="F177" s="176"/>
      <c r="G177" s="176" t="s">
        <v>324</v>
      </c>
      <c r="H177" s="178" t="s">
        <v>325</v>
      </c>
      <c r="I177" s="175" t="s">
        <v>231</v>
      </c>
      <c r="J177" s="179" t="s">
        <v>231</v>
      </c>
      <c r="K177" s="179"/>
      <c r="L177" s="176" t="s">
        <v>346</v>
      </c>
      <c r="M177" s="180">
        <f aca="true" t="shared" si="11" ref="M177:M195">IF(J177="Y",M176*(1+$C$4),IF(J177="I",M176*(1+$E$4),M176))</f>
        <v>889200</v>
      </c>
      <c r="N177" s="181">
        <v>0</v>
      </c>
      <c r="O177" s="181">
        <v>0</v>
      </c>
      <c r="P177" s="181">
        <v>0</v>
      </c>
      <c r="Q177" s="181">
        <v>0</v>
      </c>
      <c r="R177" s="181">
        <v>0</v>
      </c>
      <c r="S177" s="182">
        <f t="shared" si="9"/>
        <v>889200</v>
      </c>
      <c r="T177" s="183"/>
    </row>
    <row r="178" spans="1:20" ht="11.25">
      <c r="A178" s="175" t="s">
        <v>269</v>
      </c>
      <c r="B178" s="175">
        <v>3</v>
      </c>
      <c r="C178" s="176" t="s">
        <v>469</v>
      </c>
      <c r="D178" s="176" t="s">
        <v>331</v>
      </c>
      <c r="E178" s="176" t="s">
        <v>345</v>
      </c>
      <c r="F178" s="176"/>
      <c r="G178" s="176" t="s">
        <v>324</v>
      </c>
      <c r="H178" s="178" t="s">
        <v>325</v>
      </c>
      <c r="I178" s="175" t="s">
        <v>231</v>
      </c>
      <c r="J178" s="179" t="s">
        <v>231</v>
      </c>
      <c r="K178" s="179"/>
      <c r="L178" s="176" t="s">
        <v>346</v>
      </c>
      <c r="M178" s="180">
        <f t="shared" si="11"/>
        <v>924768</v>
      </c>
      <c r="N178" s="181">
        <v>0</v>
      </c>
      <c r="O178" s="181">
        <v>0</v>
      </c>
      <c r="P178" s="181">
        <v>0</v>
      </c>
      <c r="Q178" s="181">
        <v>0</v>
      </c>
      <c r="R178" s="181">
        <v>0</v>
      </c>
      <c r="S178" s="182">
        <f t="shared" si="9"/>
        <v>924768</v>
      </c>
      <c r="T178" s="183"/>
    </row>
    <row r="179" spans="1:20" ht="11.25">
      <c r="A179" s="175" t="s">
        <v>270</v>
      </c>
      <c r="B179" s="175">
        <v>4</v>
      </c>
      <c r="C179" s="176" t="s">
        <v>469</v>
      </c>
      <c r="D179" s="176" t="s">
        <v>331</v>
      </c>
      <c r="E179" s="176" t="s">
        <v>345</v>
      </c>
      <c r="F179" s="176"/>
      <c r="G179" s="176" t="s">
        <v>324</v>
      </c>
      <c r="H179" s="178" t="s">
        <v>325</v>
      </c>
      <c r="I179" s="175" t="s">
        <v>231</v>
      </c>
      <c r="J179" s="179" t="s">
        <v>231</v>
      </c>
      <c r="K179" s="179"/>
      <c r="L179" s="176" t="s">
        <v>346</v>
      </c>
      <c r="M179" s="180">
        <f t="shared" si="11"/>
        <v>961758.7200000001</v>
      </c>
      <c r="N179" s="181">
        <v>0</v>
      </c>
      <c r="O179" s="181">
        <v>0</v>
      </c>
      <c r="P179" s="181">
        <v>0</v>
      </c>
      <c r="Q179" s="181">
        <v>0</v>
      </c>
      <c r="R179" s="181">
        <v>0</v>
      </c>
      <c r="S179" s="182">
        <f t="shared" si="9"/>
        <v>961758.7200000001</v>
      </c>
      <c r="T179" s="183"/>
    </row>
    <row r="180" spans="1:20" ht="11.25">
      <c r="A180" s="175" t="s">
        <v>271</v>
      </c>
      <c r="B180" s="175">
        <v>5</v>
      </c>
      <c r="C180" s="176" t="s">
        <v>469</v>
      </c>
      <c r="D180" s="176" t="s">
        <v>331</v>
      </c>
      <c r="E180" s="176" t="s">
        <v>345</v>
      </c>
      <c r="F180" s="176"/>
      <c r="G180" s="176" t="s">
        <v>324</v>
      </c>
      <c r="H180" s="178" t="s">
        <v>325</v>
      </c>
      <c r="I180" s="175" t="s">
        <v>231</v>
      </c>
      <c r="J180" s="179" t="s">
        <v>231</v>
      </c>
      <c r="K180" s="179"/>
      <c r="L180" s="176" t="s">
        <v>346</v>
      </c>
      <c r="M180" s="180">
        <f t="shared" si="11"/>
        <v>1000229.0688000001</v>
      </c>
      <c r="N180" s="181">
        <v>0</v>
      </c>
      <c r="O180" s="181">
        <v>0</v>
      </c>
      <c r="P180" s="181">
        <v>0</v>
      </c>
      <c r="Q180" s="181">
        <v>0</v>
      </c>
      <c r="R180" s="181">
        <v>0</v>
      </c>
      <c r="S180" s="182">
        <f t="shared" si="9"/>
        <v>1000229.0688000001</v>
      </c>
      <c r="T180" s="183"/>
    </row>
    <row r="181" spans="1:20" ht="11.25">
      <c r="A181" s="175" t="s">
        <v>272</v>
      </c>
      <c r="B181" s="175">
        <v>6</v>
      </c>
      <c r="C181" s="176" t="s">
        <v>469</v>
      </c>
      <c r="D181" s="176" t="s">
        <v>331</v>
      </c>
      <c r="E181" s="176" t="s">
        <v>345</v>
      </c>
      <c r="F181" s="176"/>
      <c r="G181" s="176" t="s">
        <v>324</v>
      </c>
      <c r="H181" s="178" t="s">
        <v>325</v>
      </c>
      <c r="I181" s="175" t="s">
        <v>231</v>
      </c>
      <c r="J181" s="179" t="s">
        <v>231</v>
      </c>
      <c r="K181" s="179"/>
      <c r="L181" s="176" t="s">
        <v>346</v>
      </c>
      <c r="M181" s="180">
        <f t="shared" si="11"/>
        <v>1040238.2315520002</v>
      </c>
      <c r="N181" s="181">
        <v>0</v>
      </c>
      <c r="O181" s="181">
        <v>0</v>
      </c>
      <c r="P181" s="181">
        <v>0</v>
      </c>
      <c r="Q181" s="181">
        <v>0</v>
      </c>
      <c r="R181" s="181">
        <v>0</v>
      </c>
      <c r="S181" s="182">
        <f t="shared" si="9"/>
        <v>1040238.2315520002</v>
      </c>
      <c r="T181" s="183"/>
    </row>
    <row r="182" spans="1:20" ht="11.25">
      <c r="A182" s="175" t="s">
        <v>273</v>
      </c>
      <c r="B182" s="175">
        <v>7</v>
      </c>
      <c r="C182" s="176" t="s">
        <v>469</v>
      </c>
      <c r="D182" s="176" t="s">
        <v>331</v>
      </c>
      <c r="E182" s="176" t="s">
        <v>345</v>
      </c>
      <c r="F182" s="176"/>
      <c r="G182" s="176" t="s">
        <v>324</v>
      </c>
      <c r="H182" s="178" t="s">
        <v>325</v>
      </c>
      <c r="I182" s="175" t="s">
        <v>231</v>
      </c>
      <c r="J182" s="179" t="s">
        <v>231</v>
      </c>
      <c r="K182" s="179"/>
      <c r="L182" s="176" t="s">
        <v>346</v>
      </c>
      <c r="M182" s="180">
        <f t="shared" si="11"/>
        <v>1081847.7608140802</v>
      </c>
      <c r="N182" s="181">
        <v>0</v>
      </c>
      <c r="O182" s="181">
        <v>0</v>
      </c>
      <c r="P182" s="181">
        <v>0</v>
      </c>
      <c r="Q182" s="181">
        <v>0</v>
      </c>
      <c r="R182" s="181">
        <v>0</v>
      </c>
      <c r="S182" s="182">
        <f t="shared" si="9"/>
        <v>1081847.7608140802</v>
      </c>
      <c r="T182" s="183"/>
    </row>
    <row r="183" spans="1:20" ht="11.25">
      <c r="A183" s="175" t="s">
        <v>274</v>
      </c>
      <c r="B183" s="175">
        <v>8</v>
      </c>
      <c r="C183" s="176" t="s">
        <v>469</v>
      </c>
      <c r="D183" s="176" t="s">
        <v>331</v>
      </c>
      <c r="E183" s="176" t="s">
        <v>345</v>
      </c>
      <c r="F183" s="176"/>
      <c r="G183" s="176" t="s">
        <v>324</v>
      </c>
      <c r="H183" s="178" t="s">
        <v>325</v>
      </c>
      <c r="I183" s="175" t="s">
        <v>231</v>
      </c>
      <c r="J183" s="179" t="s">
        <v>231</v>
      </c>
      <c r="K183" s="179"/>
      <c r="L183" s="176" t="s">
        <v>346</v>
      </c>
      <c r="M183" s="180">
        <f t="shared" si="11"/>
        <v>1125121.6712466434</v>
      </c>
      <c r="N183" s="181">
        <v>0</v>
      </c>
      <c r="O183" s="181">
        <v>0</v>
      </c>
      <c r="P183" s="181">
        <v>0</v>
      </c>
      <c r="Q183" s="181">
        <v>0</v>
      </c>
      <c r="R183" s="181">
        <v>0</v>
      </c>
      <c r="S183" s="182">
        <f t="shared" si="9"/>
        <v>1125121.6712466434</v>
      </c>
      <c r="T183" s="183"/>
    </row>
    <row r="184" spans="1:20" ht="11.25">
      <c r="A184" s="175" t="s">
        <v>275</v>
      </c>
      <c r="B184" s="175">
        <v>9</v>
      </c>
      <c r="C184" s="176" t="s">
        <v>469</v>
      </c>
      <c r="D184" s="176" t="s">
        <v>331</v>
      </c>
      <c r="E184" s="176" t="s">
        <v>345</v>
      </c>
      <c r="F184" s="176"/>
      <c r="G184" s="176" t="s">
        <v>324</v>
      </c>
      <c r="H184" s="178" t="s">
        <v>325</v>
      </c>
      <c r="I184" s="175" t="s">
        <v>231</v>
      </c>
      <c r="J184" s="179" t="s">
        <v>231</v>
      </c>
      <c r="K184" s="179"/>
      <c r="L184" s="176" t="s">
        <v>346</v>
      </c>
      <c r="M184" s="180">
        <f t="shared" si="11"/>
        <v>1170126.5380965092</v>
      </c>
      <c r="N184" s="181">
        <v>0</v>
      </c>
      <c r="O184" s="181">
        <v>0</v>
      </c>
      <c r="P184" s="181">
        <v>0</v>
      </c>
      <c r="Q184" s="181">
        <v>0</v>
      </c>
      <c r="R184" s="181">
        <v>0</v>
      </c>
      <c r="S184" s="182">
        <f t="shared" si="9"/>
        <v>1170126.5380965092</v>
      </c>
      <c r="T184" s="183"/>
    </row>
    <row r="185" spans="1:20" ht="11.25">
      <c r="A185" s="175" t="s">
        <v>276</v>
      </c>
      <c r="B185" s="175">
        <v>10</v>
      </c>
      <c r="C185" s="176" t="s">
        <v>469</v>
      </c>
      <c r="D185" s="176" t="s">
        <v>331</v>
      </c>
      <c r="E185" s="176" t="s">
        <v>345</v>
      </c>
      <c r="F185" s="176"/>
      <c r="G185" s="176" t="s">
        <v>324</v>
      </c>
      <c r="H185" s="178" t="s">
        <v>325</v>
      </c>
      <c r="I185" s="175" t="s">
        <v>231</v>
      </c>
      <c r="J185" s="179" t="s">
        <v>231</v>
      </c>
      <c r="K185" s="179"/>
      <c r="L185" s="176" t="s">
        <v>346</v>
      </c>
      <c r="M185" s="180">
        <f t="shared" si="11"/>
        <v>1216931.5996203695</v>
      </c>
      <c r="N185" s="181">
        <v>0</v>
      </c>
      <c r="O185" s="181">
        <v>0</v>
      </c>
      <c r="P185" s="181">
        <v>0</v>
      </c>
      <c r="Q185" s="181">
        <v>0</v>
      </c>
      <c r="R185" s="181">
        <v>0</v>
      </c>
      <c r="S185" s="182">
        <f t="shared" si="9"/>
        <v>1216931.5996203695</v>
      </c>
      <c r="T185" s="183"/>
    </row>
    <row r="186" spans="1:20" ht="11.25">
      <c r="A186" s="175" t="s">
        <v>277</v>
      </c>
      <c r="B186" s="175">
        <v>11</v>
      </c>
      <c r="C186" s="176" t="s">
        <v>469</v>
      </c>
      <c r="D186" s="176" t="s">
        <v>331</v>
      </c>
      <c r="E186" s="176" t="s">
        <v>345</v>
      </c>
      <c r="F186" s="176"/>
      <c r="G186" s="176" t="s">
        <v>324</v>
      </c>
      <c r="H186" s="178" t="s">
        <v>325</v>
      </c>
      <c r="I186" s="175" t="s">
        <v>231</v>
      </c>
      <c r="J186" s="179" t="s">
        <v>231</v>
      </c>
      <c r="K186" s="179"/>
      <c r="L186" s="176" t="s">
        <v>346</v>
      </c>
      <c r="M186" s="180">
        <f t="shared" si="11"/>
        <v>1265608.8636051842</v>
      </c>
      <c r="N186" s="181">
        <v>0</v>
      </c>
      <c r="O186" s="181">
        <v>0</v>
      </c>
      <c r="P186" s="181">
        <v>0</v>
      </c>
      <c r="Q186" s="181">
        <v>0</v>
      </c>
      <c r="R186" s="181">
        <v>0</v>
      </c>
      <c r="S186" s="182">
        <f t="shared" si="9"/>
        <v>1265608.8636051842</v>
      </c>
      <c r="T186" s="183"/>
    </row>
    <row r="187" spans="1:20" ht="11.25">
      <c r="A187" s="175" t="s">
        <v>278</v>
      </c>
      <c r="B187" s="175">
        <v>12</v>
      </c>
      <c r="C187" s="176" t="s">
        <v>469</v>
      </c>
      <c r="D187" s="176" t="s">
        <v>331</v>
      </c>
      <c r="E187" s="176" t="s">
        <v>345</v>
      </c>
      <c r="F187" s="176"/>
      <c r="G187" s="176" t="s">
        <v>324</v>
      </c>
      <c r="H187" s="178" t="s">
        <v>325</v>
      </c>
      <c r="I187" s="175" t="s">
        <v>231</v>
      </c>
      <c r="J187" s="179" t="s">
        <v>231</v>
      </c>
      <c r="K187" s="179"/>
      <c r="L187" s="176" t="s">
        <v>346</v>
      </c>
      <c r="M187" s="180">
        <f t="shared" si="11"/>
        <v>1316233.2181493917</v>
      </c>
      <c r="N187" s="181">
        <v>0</v>
      </c>
      <c r="O187" s="181">
        <v>0</v>
      </c>
      <c r="P187" s="181">
        <v>0</v>
      </c>
      <c r="Q187" s="181">
        <v>0</v>
      </c>
      <c r="R187" s="181">
        <v>0</v>
      </c>
      <c r="S187" s="182">
        <f t="shared" si="9"/>
        <v>1316233.2181493917</v>
      </c>
      <c r="T187" s="183"/>
    </row>
    <row r="188" spans="1:20" ht="11.25">
      <c r="A188" s="175" t="s">
        <v>279</v>
      </c>
      <c r="B188" s="175">
        <v>13</v>
      </c>
      <c r="C188" s="176" t="s">
        <v>469</v>
      </c>
      <c r="D188" s="176" t="s">
        <v>331</v>
      </c>
      <c r="E188" s="176" t="s">
        <v>345</v>
      </c>
      <c r="F188" s="176"/>
      <c r="G188" s="176" t="s">
        <v>324</v>
      </c>
      <c r="H188" s="178" t="s">
        <v>325</v>
      </c>
      <c r="I188" s="175" t="s">
        <v>231</v>
      </c>
      <c r="J188" s="179" t="s">
        <v>231</v>
      </c>
      <c r="K188" s="179"/>
      <c r="L188" s="176" t="s">
        <v>346</v>
      </c>
      <c r="M188" s="180">
        <f t="shared" si="11"/>
        <v>1368882.5468753674</v>
      </c>
      <c r="N188" s="181">
        <v>0</v>
      </c>
      <c r="O188" s="181">
        <v>0</v>
      </c>
      <c r="P188" s="181">
        <v>0</v>
      </c>
      <c r="Q188" s="181">
        <v>0</v>
      </c>
      <c r="R188" s="181">
        <v>0</v>
      </c>
      <c r="S188" s="182">
        <f t="shared" si="9"/>
        <v>1368882.5468753674</v>
      </c>
      <c r="T188" s="183"/>
    </row>
    <row r="189" spans="1:20" ht="11.25">
      <c r="A189" s="175" t="s">
        <v>280</v>
      </c>
      <c r="B189" s="175">
        <v>14</v>
      </c>
      <c r="C189" s="176" t="s">
        <v>469</v>
      </c>
      <c r="D189" s="176" t="s">
        <v>331</v>
      </c>
      <c r="E189" s="176" t="s">
        <v>345</v>
      </c>
      <c r="F189" s="176"/>
      <c r="G189" s="176" t="s">
        <v>324</v>
      </c>
      <c r="H189" s="178" t="s">
        <v>325</v>
      </c>
      <c r="I189" s="175" t="s">
        <v>231</v>
      </c>
      <c r="J189" s="179" t="s">
        <v>231</v>
      </c>
      <c r="K189" s="179"/>
      <c r="L189" s="176" t="s">
        <v>346</v>
      </c>
      <c r="M189" s="180">
        <f t="shared" si="11"/>
        <v>1423637.8487503822</v>
      </c>
      <c r="N189" s="181">
        <v>0</v>
      </c>
      <c r="O189" s="181">
        <v>0</v>
      </c>
      <c r="P189" s="181">
        <v>0</v>
      </c>
      <c r="Q189" s="181">
        <v>0</v>
      </c>
      <c r="R189" s="181">
        <v>0</v>
      </c>
      <c r="S189" s="182">
        <f t="shared" si="9"/>
        <v>1423637.8487503822</v>
      </c>
      <c r="T189" s="183"/>
    </row>
    <row r="190" spans="1:20" ht="11.25">
      <c r="A190" s="175" t="s">
        <v>281</v>
      </c>
      <c r="B190" s="175">
        <v>15</v>
      </c>
      <c r="C190" s="176" t="s">
        <v>469</v>
      </c>
      <c r="D190" s="176" t="s">
        <v>331</v>
      </c>
      <c r="E190" s="176" t="s">
        <v>345</v>
      </c>
      <c r="F190" s="176"/>
      <c r="G190" s="176" t="s">
        <v>324</v>
      </c>
      <c r="H190" s="178" t="s">
        <v>325</v>
      </c>
      <c r="I190" s="175" t="s">
        <v>231</v>
      </c>
      <c r="J190" s="179" t="s">
        <v>231</v>
      </c>
      <c r="K190" s="179"/>
      <c r="L190" s="176" t="s">
        <v>346</v>
      </c>
      <c r="M190" s="180">
        <f t="shared" si="11"/>
        <v>1480583.3627003976</v>
      </c>
      <c r="N190" s="181">
        <v>0</v>
      </c>
      <c r="O190" s="181">
        <v>0</v>
      </c>
      <c r="P190" s="181">
        <v>0</v>
      </c>
      <c r="Q190" s="181">
        <v>0</v>
      </c>
      <c r="R190" s="181">
        <v>0</v>
      </c>
      <c r="S190" s="182">
        <f t="shared" si="9"/>
        <v>1480583.3627003976</v>
      </c>
      <c r="T190" s="183"/>
    </row>
    <row r="191" spans="1:20" ht="11.25">
      <c r="A191" s="175" t="s">
        <v>282</v>
      </c>
      <c r="B191" s="175">
        <v>16</v>
      </c>
      <c r="C191" s="176" t="s">
        <v>469</v>
      </c>
      <c r="D191" s="176" t="s">
        <v>331</v>
      </c>
      <c r="E191" s="176" t="s">
        <v>345</v>
      </c>
      <c r="F191" s="176"/>
      <c r="G191" s="176" t="s">
        <v>324</v>
      </c>
      <c r="H191" s="178" t="s">
        <v>325</v>
      </c>
      <c r="I191" s="175" t="s">
        <v>231</v>
      </c>
      <c r="J191" s="179" t="s">
        <v>231</v>
      </c>
      <c r="K191" s="179"/>
      <c r="L191" s="176" t="s">
        <v>346</v>
      </c>
      <c r="M191" s="180">
        <f t="shared" si="11"/>
        <v>1539806.6972084136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82">
        <f t="shared" si="9"/>
        <v>1539806.6972084136</v>
      </c>
      <c r="T191" s="183"/>
    </row>
    <row r="192" spans="1:20" ht="11.25">
      <c r="A192" s="175" t="s">
        <v>283</v>
      </c>
      <c r="B192" s="175">
        <v>17</v>
      </c>
      <c r="C192" s="176" t="s">
        <v>469</v>
      </c>
      <c r="D192" s="176" t="s">
        <v>331</v>
      </c>
      <c r="E192" s="176" t="s">
        <v>345</v>
      </c>
      <c r="F192" s="176"/>
      <c r="G192" s="176" t="s">
        <v>324</v>
      </c>
      <c r="H192" s="178" t="s">
        <v>325</v>
      </c>
      <c r="I192" s="175" t="s">
        <v>231</v>
      </c>
      <c r="J192" s="179" t="s">
        <v>231</v>
      </c>
      <c r="K192" s="179"/>
      <c r="L192" s="176" t="s">
        <v>346</v>
      </c>
      <c r="M192" s="180">
        <f t="shared" si="11"/>
        <v>1601398.9650967503</v>
      </c>
      <c r="N192" s="181">
        <v>0</v>
      </c>
      <c r="O192" s="181">
        <v>0</v>
      </c>
      <c r="P192" s="181">
        <v>0</v>
      </c>
      <c r="Q192" s="181">
        <v>0</v>
      </c>
      <c r="R192" s="181">
        <v>0</v>
      </c>
      <c r="S192" s="182">
        <f t="shared" si="9"/>
        <v>1601398.9650967503</v>
      </c>
      <c r="T192" s="183"/>
    </row>
    <row r="193" spans="1:20" ht="11.25">
      <c r="A193" s="175" t="s">
        <v>284</v>
      </c>
      <c r="B193" s="175">
        <v>18</v>
      </c>
      <c r="C193" s="176" t="s">
        <v>469</v>
      </c>
      <c r="D193" s="176" t="s">
        <v>331</v>
      </c>
      <c r="E193" s="176" t="s">
        <v>345</v>
      </c>
      <c r="F193" s="176"/>
      <c r="G193" s="176" t="s">
        <v>324</v>
      </c>
      <c r="H193" s="178" t="s">
        <v>325</v>
      </c>
      <c r="I193" s="175" t="s">
        <v>231</v>
      </c>
      <c r="J193" s="179" t="s">
        <v>231</v>
      </c>
      <c r="K193" s="179"/>
      <c r="L193" s="176" t="s">
        <v>346</v>
      </c>
      <c r="M193" s="180">
        <f t="shared" si="11"/>
        <v>1665454.9237006204</v>
      </c>
      <c r="N193" s="181">
        <v>0</v>
      </c>
      <c r="O193" s="181">
        <v>0</v>
      </c>
      <c r="P193" s="181">
        <v>0</v>
      </c>
      <c r="Q193" s="181">
        <v>0</v>
      </c>
      <c r="R193" s="181">
        <v>0</v>
      </c>
      <c r="S193" s="182">
        <f t="shared" si="9"/>
        <v>1665454.9237006204</v>
      </c>
      <c r="T193" s="183"/>
    </row>
    <row r="194" spans="1:20" ht="11.25">
      <c r="A194" s="175" t="s">
        <v>285</v>
      </c>
      <c r="B194" s="175">
        <v>19</v>
      </c>
      <c r="C194" s="176" t="s">
        <v>469</v>
      </c>
      <c r="D194" s="176" t="s">
        <v>331</v>
      </c>
      <c r="E194" s="176" t="s">
        <v>345</v>
      </c>
      <c r="F194" s="176"/>
      <c r="G194" s="176" t="s">
        <v>324</v>
      </c>
      <c r="H194" s="178" t="s">
        <v>325</v>
      </c>
      <c r="I194" s="175" t="s">
        <v>231</v>
      </c>
      <c r="J194" s="179" t="s">
        <v>231</v>
      </c>
      <c r="K194" s="179"/>
      <c r="L194" s="176" t="s">
        <v>346</v>
      </c>
      <c r="M194" s="180">
        <f t="shared" si="11"/>
        <v>1732073.1206486453</v>
      </c>
      <c r="N194" s="181">
        <v>0</v>
      </c>
      <c r="O194" s="181">
        <v>0</v>
      </c>
      <c r="P194" s="181">
        <v>0</v>
      </c>
      <c r="Q194" s="181">
        <v>0</v>
      </c>
      <c r="R194" s="181">
        <v>0</v>
      </c>
      <c r="S194" s="182">
        <f t="shared" si="9"/>
        <v>1732073.1206486453</v>
      </c>
      <c r="T194" s="183"/>
    </row>
    <row r="195" spans="1:20" ht="11.25">
      <c r="A195" s="175" t="s">
        <v>303</v>
      </c>
      <c r="B195" s="175">
        <v>20</v>
      </c>
      <c r="C195" s="176" t="s">
        <v>469</v>
      </c>
      <c r="D195" s="176" t="s">
        <v>331</v>
      </c>
      <c r="E195" s="176" t="s">
        <v>345</v>
      </c>
      <c r="F195" s="176"/>
      <c r="G195" s="176" t="s">
        <v>324</v>
      </c>
      <c r="H195" s="178" t="s">
        <v>325</v>
      </c>
      <c r="I195" s="175" t="s">
        <v>231</v>
      </c>
      <c r="J195" s="179" t="s">
        <v>231</v>
      </c>
      <c r="K195" s="179"/>
      <c r="L195" s="176" t="s">
        <v>346</v>
      </c>
      <c r="M195" s="180">
        <f t="shared" si="11"/>
        <v>1801356.0454745912</v>
      </c>
      <c r="N195" s="181">
        <v>0</v>
      </c>
      <c r="O195" s="181">
        <v>0</v>
      </c>
      <c r="P195" s="181">
        <v>0</v>
      </c>
      <c r="Q195" s="181">
        <v>0</v>
      </c>
      <c r="R195" s="181">
        <v>0</v>
      </c>
      <c r="S195" s="182">
        <f t="shared" si="9"/>
        <v>1801356.0454745912</v>
      </c>
      <c r="T195" s="183"/>
    </row>
    <row r="196" spans="1:20" ht="11.25">
      <c r="A196" s="175" t="s">
        <v>265</v>
      </c>
      <c r="B196" s="175">
        <v>0</v>
      </c>
      <c r="C196" s="176" t="s">
        <v>469</v>
      </c>
      <c r="D196" s="176" t="s">
        <v>347</v>
      </c>
      <c r="E196" s="176" t="s">
        <v>348</v>
      </c>
      <c r="F196" s="176"/>
      <c r="G196" s="176" t="s">
        <v>324</v>
      </c>
      <c r="H196" s="178" t="s">
        <v>325</v>
      </c>
      <c r="I196" s="175" t="s">
        <v>231</v>
      </c>
      <c r="J196" s="179" t="s">
        <v>326</v>
      </c>
      <c r="K196" s="179"/>
      <c r="L196" s="176" t="s">
        <v>349</v>
      </c>
      <c r="M196" s="180">
        <v>2602000</v>
      </c>
      <c r="N196" s="181">
        <v>0</v>
      </c>
      <c r="O196" s="181">
        <v>0</v>
      </c>
      <c r="P196" s="181">
        <v>0</v>
      </c>
      <c r="Q196" s="181">
        <v>0</v>
      </c>
      <c r="R196" s="181">
        <v>0</v>
      </c>
      <c r="S196" s="182">
        <f t="shared" si="9"/>
        <v>2602000</v>
      </c>
      <c r="T196" s="183"/>
    </row>
    <row r="197" spans="1:20" ht="11.25">
      <c r="A197" s="175" t="s">
        <v>267</v>
      </c>
      <c r="B197" s="175">
        <v>1</v>
      </c>
      <c r="C197" s="176" t="s">
        <v>469</v>
      </c>
      <c r="D197" s="176" t="s">
        <v>347</v>
      </c>
      <c r="E197" s="176" t="s">
        <v>348</v>
      </c>
      <c r="F197" s="176"/>
      <c r="G197" s="176" t="s">
        <v>324</v>
      </c>
      <c r="H197" s="178" t="s">
        <v>325</v>
      </c>
      <c r="I197" s="175" t="s">
        <v>231</v>
      </c>
      <c r="J197" s="179" t="s">
        <v>231</v>
      </c>
      <c r="K197" s="179"/>
      <c r="L197" s="176" t="s">
        <v>349</v>
      </c>
      <c r="M197" s="180">
        <f>IF(J197="Y",M196*(1+$F$4),IF(J197="I",M196*(1+$E$4),M196))</f>
        <v>2706080</v>
      </c>
      <c r="N197" s="181">
        <v>0</v>
      </c>
      <c r="O197" s="181">
        <v>0</v>
      </c>
      <c r="P197" s="181">
        <v>0</v>
      </c>
      <c r="Q197" s="181">
        <v>0</v>
      </c>
      <c r="R197" s="181">
        <v>0</v>
      </c>
      <c r="S197" s="182">
        <f t="shared" si="9"/>
        <v>2706080</v>
      </c>
      <c r="T197" s="183"/>
    </row>
    <row r="198" spans="1:20" ht="11.25">
      <c r="A198" s="175" t="s">
        <v>268</v>
      </c>
      <c r="B198" s="175">
        <v>2</v>
      </c>
      <c r="C198" s="176" t="s">
        <v>469</v>
      </c>
      <c r="D198" s="176" t="s">
        <v>347</v>
      </c>
      <c r="E198" s="176" t="s">
        <v>348</v>
      </c>
      <c r="F198" s="176"/>
      <c r="G198" s="176" t="s">
        <v>324</v>
      </c>
      <c r="H198" s="178" t="s">
        <v>325</v>
      </c>
      <c r="I198" s="175" t="s">
        <v>231</v>
      </c>
      <c r="J198" s="179" t="s">
        <v>231</v>
      </c>
      <c r="K198" s="179"/>
      <c r="L198" s="176" t="s">
        <v>349</v>
      </c>
      <c r="M198" s="180">
        <f aca="true" t="shared" si="12" ref="M198:M216">IF(J198="Y",M197*(1+$C$4),IF(J198="I",M197*(1+$E$4),M197))</f>
        <v>2814323.2</v>
      </c>
      <c r="N198" s="181">
        <v>0</v>
      </c>
      <c r="O198" s="181">
        <v>0</v>
      </c>
      <c r="P198" s="181">
        <v>0</v>
      </c>
      <c r="Q198" s="181">
        <v>0</v>
      </c>
      <c r="R198" s="181">
        <v>0</v>
      </c>
      <c r="S198" s="182">
        <f t="shared" si="9"/>
        <v>2814323.2</v>
      </c>
      <c r="T198" s="183"/>
    </row>
    <row r="199" spans="1:20" ht="11.25">
      <c r="A199" s="175" t="s">
        <v>269</v>
      </c>
      <c r="B199" s="175">
        <v>3</v>
      </c>
      <c r="C199" s="176" t="s">
        <v>469</v>
      </c>
      <c r="D199" s="176" t="s">
        <v>347</v>
      </c>
      <c r="E199" s="176" t="s">
        <v>348</v>
      </c>
      <c r="F199" s="176"/>
      <c r="G199" s="176" t="s">
        <v>324</v>
      </c>
      <c r="H199" s="178" t="s">
        <v>325</v>
      </c>
      <c r="I199" s="175" t="s">
        <v>231</v>
      </c>
      <c r="J199" s="179" t="s">
        <v>231</v>
      </c>
      <c r="K199" s="179"/>
      <c r="L199" s="176" t="s">
        <v>349</v>
      </c>
      <c r="M199" s="180">
        <f t="shared" si="12"/>
        <v>2926896.1280000005</v>
      </c>
      <c r="N199" s="181">
        <v>0</v>
      </c>
      <c r="O199" s="181">
        <v>0</v>
      </c>
      <c r="P199" s="181">
        <v>0</v>
      </c>
      <c r="Q199" s="181">
        <v>0</v>
      </c>
      <c r="R199" s="181">
        <v>0</v>
      </c>
      <c r="S199" s="182">
        <f aca="true" t="shared" si="13" ref="S199:S262">M199-SUM(N199:R199)</f>
        <v>2926896.1280000005</v>
      </c>
      <c r="T199" s="183"/>
    </row>
    <row r="200" spans="1:20" ht="11.25">
      <c r="A200" s="175" t="s">
        <v>270</v>
      </c>
      <c r="B200" s="175">
        <v>4</v>
      </c>
      <c r="C200" s="176" t="s">
        <v>469</v>
      </c>
      <c r="D200" s="176" t="s">
        <v>347</v>
      </c>
      <c r="E200" s="176" t="s">
        <v>348</v>
      </c>
      <c r="F200" s="176"/>
      <c r="G200" s="176" t="s">
        <v>324</v>
      </c>
      <c r="H200" s="178" t="s">
        <v>325</v>
      </c>
      <c r="I200" s="175" t="s">
        <v>231</v>
      </c>
      <c r="J200" s="179" t="s">
        <v>231</v>
      </c>
      <c r="K200" s="179"/>
      <c r="L200" s="176" t="s">
        <v>349</v>
      </c>
      <c r="M200" s="180">
        <f t="shared" si="12"/>
        <v>3043971.9731200007</v>
      </c>
      <c r="N200" s="181">
        <v>0</v>
      </c>
      <c r="O200" s="181">
        <v>0</v>
      </c>
      <c r="P200" s="181">
        <v>0</v>
      </c>
      <c r="Q200" s="181">
        <v>0</v>
      </c>
      <c r="R200" s="181">
        <v>0</v>
      </c>
      <c r="S200" s="182">
        <f t="shared" si="13"/>
        <v>3043971.9731200007</v>
      </c>
      <c r="T200" s="183"/>
    </row>
    <row r="201" spans="1:20" ht="11.25">
      <c r="A201" s="175" t="s">
        <v>271</v>
      </c>
      <c r="B201" s="175">
        <v>5</v>
      </c>
      <c r="C201" s="176" t="s">
        <v>469</v>
      </c>
      <c r="D201" s="176" t="s">
        <v>347</v>
      </c>
      <c r="E201" s="176" t="s">
        <v>348</v>
      </c>
      <c r="F201" s="176"/>
      <c r="G201" s="176" t="s">
        <v>324</v>
      </c>
      <c r="H201" s="178" t="s">
        <v>325</v>
      </c>
      <c r="I201" s="175" t="s">
        <v>231</v>
      </c>
      <c r="J201" s="179" t="s">
        <v>231</v>
      </c>
      <c r="K201" s="179"/>
      <c r="L201" s="176" t="s">
        <v>349</v>
      </c>
      <c r="M201" s="180">
        <f t="shared" si="12"/>
        <v>3165730.8520448008</v>
      </c>
      <c r="N201" s="181">
        <v>0</v>
      </c>
      <c r="O201" s="181">
        <v>0</v>
      </c>
      <c r="P201" s="181">
        <v>0</v>
      </c>
      <c r="Q201" s="181">
        <v>0</v>
      </c>
      <c r="R201" s="181">
        <v>0</v>
      </c>
      <c r="S201" s="182">
        <f t="shared" si="13"/>
        <v>3165730.8520448008</v>
      </c>
      <c r="T201" s="183"/>
    </row>
    <row r="202" spans="1:20" ht="11.25">
      <c r="A202" s="175" t="s">
        <v>272</v>
      </c>
      <c r="B202" s="175">
        <v>6</v>
      </c>
      <c r="C202" s="176" t="s">
        <v>469</v>
      </c>
      <c r="D202" s="176" t="s">
        <v>347</v>
      </c>
      <c r="E202" s="176" t="s">
        <v>348</v>
      </c>
      <c r="F202" s="176"/>
      <c r="G202" s="176" t="s">
        <v>324</v>
      </c>
      <c r="H202" s="178" t="s">
        <v>325</v>
      </c>
      <c r="I202" s="175" t="s">
        <v>231</v>
      </c>
      <c r="J202" s="179" t="s">
        <v>231</v>
      </c>
      <c r="K202" s="179"/>
      <c r="L202" s="176" t="s">
        <v>349</v>
      </c>
      <c r="M202" s="180">
        <f t="shared" si="12"/>
        <v>3292360.086126593</v>
      </c>
      <c r="N202" s="181">
        <v>0</v>
      </c>
      <c r="O202" s="181">
        <v>0</v>
      </c>
      <c r="P202" s="181">
        <v>0</v>
      </c>
      <c r="Q202" s="181">
        <v>0</v>
      </c>
      <c r="R202" s="181">
        <v>0</v>
      </c>
      <c r="S202" s="182">
        <f t="shared" si="13"/>
        <v>3292360.086126593</v>
      </c>
      <c r="T202" s="183"/>
    </row>
    <row r="203" spans="1:20" ht="11.25">
      <c r="A203" s="175" t="s">
        <v>273</v>
      </c>
      <c r="B203" s="175">
        <v>7</v>
      </c>
      <c r="C203" s="176" t="s">
        <v>469</v>
      </c>
      <c r="D203" s="176" t="s">
        <v>347</v>
      </c>
      <c r="E203" s="176" t="s">
        <v>348</v>
      </c>
      <c r="F203" s="176"/>
      <c r="G203" s="176" t="s">
        <v>324</v>
      </c>
      <c r="H203" s="178" t="s">
        <v>325</v>
      </c>
      <c r="I203" s="175" t="s">
        <v>231</v>
      </c>
      <c r="J203" s="179" t="s">
        <v>231</v>
      </c>
      <c r="K203" s="179"/>
      <c r="L203" s="176" t="s">
        <v>349</v>
      </c>
      <c r="M203" s="180">
        <f t="shared" si="12"/>
        <v>3424054.4895716566</v>
      </c>
      <c r="N203" s="181">
        <v>0</v>
      </c>
      <c r="O203" s="181">
        <v>0</v>
      </c>
      <c r="P203" s="181">
        <v>0</v>
      </c>
      <c r="Q203" s="181">
        <v>0</v>
      </c>
      <c r="R203" s="181">
        <v>0</v>
      </c>
      <c r="S203" s="182">
        <f t="shared" si="13"/>
        <v>3424054.4895716566</v>
      </c>
      <c r="T203" s="183"/>
    </row>
    <row r="204" spans="1:20" ht="11.25">
      <c r="A204" s="175" t="s">
        <v>274</v>
      </c>
      <c r="B204" s="175">
        <v>8</v>
      </c>
      <c r="C204" s="176" t="s">
        <v>469</v>
      </c>
      <c r="D204" s="176" t="s">
        <v>347</v>
      </c>
      <c r="E204" s="176" t="s">
        <v>348</v>
      </c>
      <c r="F204" s="176"/>
      <c r="G204" s="176" t="s">
        <v>324</v>
      </c>
      <c r="H204" s="178" t="s">
        <v>325</v>
      </c>
      <c r="I204" s="175" t="s">
        <v>231</v>
      </c>
      <c r="J204" s="179" t="s">
        <v>231</v>
      </c>
      <c r="K204" s="179"/>
      <c r="L204" s="176" t="s">
        <v>349</v>
      </c>
      <c r="M204" s="180">
        <f t="shared" si="12"/>
        <v>3561016.669154523</v>
      </c>
      <c r="N204" s="181">
        <v>0</v>
      </c>
      <c r="O204" s="181">
        <v>0</v>
      </c>
      <c r="P204" s="181">
        <v>0</v>
      </c>
      <c r="Q204" s="181">
        <v>0</v>
      </c>
      <c r="R204" s="181">
        <v>0</v>
      </c>
      <c r="S204" s="182">
        <f t="shared" si="13"/>
        <v>3561016.669154523</v>
      </c>
      <c r="T204" s="183"/>
    </row>
    <row r="205" spans="1:20" ht="11.25">
      <c r="A205" s="175" t="s">
        <v>275</v>
      </c>
      <c r="B205" s="175">
        <v>9</v>
      </c>
      <c r="C205" s="176" t="s">
        <v>469</v>
      </c>
      <c r="D205" s="176" t="s">
        <v>347</v>
      </c>
      <c r="E205" s="176" t="s">
        <v>348</v>
      </c>
      <c r="F205" s="176"/>
      <c r="G205" s="176" t="s">
        <v>324</v>
      </c>
      <c r="H205" s="178" t="s">
        <v>325</v>
      </c>
      <c r="I205" s="175" t="s">
        <v>231</v>
      </c>
      <c r="J205" s="179" t="s">
        <v>231</v>
      </c>
      <c r="K205" s="179"/>
      <c r="L205" s="176" t="s">
        <v>349</v>
      </c>
      <c r="M205" s="180">
        <f t="shared" si="12"/>
        <v>3703457.335920704</v>
      </c>
      <c r="N205" s="181">
        <v>0</v>
      </c>
      <c r="O205" s="181">
        <v>0</v>
      </c>
      <c r="P205" s="181">
        <v>0</v>
      </c>
      <c r="Q205" s="181">
        <v>0</v>
      </c>
      <c r="R205" s="181">
        <v>0</v>
      </c>
      <c r="S205" s="182">
        <f t="shared" si="13"/>
        <v>3703457.335920704</v>
      </c>
      <c r="T205" s="183"/>
    </row>
    <row r="206" spans="1:20" ht="11.25">
      <c r="A206" s="175" t="s">
        <v>276</v>
      </c>
      <c r="B206" s="175">
        <v>10</v>
      </c>
      <c r="C206" s="176" t="s">
        <v>469</v>
      </c>
      <c r="D206" s="176" t="s">
        <v>347</v>
      </c>
      <c r="E206" s="176" t="s">
        <v>348</v>
      </c>
      <c r="F206" s="176"/>
      <c r="G206" s="176" t="s">
        <v>324</v>
      </c>
      <c r="H206" s="178" t="s">
        <v>325</v>
      </c>
      <c r="I206" s="175" t="s">
        <v>231</v>
      </c>
      <c r="J206" s="179" t="s">
        <v>231</v>
      </c>
      <c r="K206" s="179"/>
      <c r="L206" s="176" t="s">
        <v>349</v>
      </c>
      <c r="M206" s="180">
        <f t="shared" si="12"/>
        <v>3851595.629357532</v>
      </c>
      <c r="N206" s="181">
        <v>0</v>
      </c>
      <c r="O206" s="181">
        <v>0</v>
      </c>
      <c r="P206" s="181">
        <v>0</v>
      </c>
      <c r="Q206" s="181">
        <v>0</v>
      </c>
      <c r="R206" s="181">
        <v>0</v>
      </c>
      <c r="S206" s="182">
        <f t="shared" si="13"/>
        <v>3851595.629357532</v>
      </c>
      <c r="T206" s="183"/>
    </row>
    <row r="207" spans="1:20" ht="11.25">
      <c r="A207" s="175" t="s">
        <v>277</v>
      </c>
      <c r="B207" s="175">
        <v>11</v>
      </c>
      <c r="C207" s="176" t="s">
        <v>469</v>
      </c>
      <c r="D207" s="176" t="s">
        <v>347</v>
      </c>
      <c r="E207" s="176" t="s">
        <v>348</v>
      </c>
      <c r="F207" s="176"/>
      <c r="G207" s="176" t="s">
        <v>324</v>
      </c>
      <c r="H207" s="178" t="s">
        <v>325</v>
      </c>
      <c r="I207" s="175" t="s">
        <v>231</v>
      </c>
      <c r="J207" s="179" t="s">
        <v>231</v>
      </c>
      <c r="K207" s="179"/>
      <c r="L207" s="176" t="s">
        <v>349</v>
      </c>
      <c r="M207" s="180">
        <f t="shared" si="12"/>
        <v>4005659.4545318335</v>
      </c>
      <c r="N207" s="181">
        <v>0</v>
      </c>
      <c r="O207" s="181">
        <v>0</v>
      </c>
      <c r="P207" s="181">
        <v>0</v>
      </c>
      <c r="Q207" s="181">
        <v>0</v>
      </c>
      <c r="R207" s="181">
        <v>0</v>
      </c>
      <c r="S207" s="182">
        <f t="shared" si="13"/>
        <v>4005659.4545318335</v>
      </c>
      <c r="T207" s="183"/>
    </row>
    <row r="208" spans="1:20" ht="11.25">
      <c r="A208" s="175" t="s">
        <v>278</v>
      </c>
      <c r="B208" s="175">
        <v>12</v>
      </c>
      <c r="C208" s="176" t="s">
        <v>469</v>
      </c>
      <c r="D208" s="176" t="s">
        <v>347</v>
      </c>
      <c r="E208" s="176" t="s">
        <v>348</v>
      </c>
      <c r="F208" s="176"/>
      <c r="G208" s="176" t="s">
        <v>324</v>
      </c>
      <c r="H208" s="178" t="s">
        <v>325</v>
      </c>
      <c r="I208" s="175" t="s">
        <v>231</v>
      </c>
      <c r="J208" s="179" t="s">
        <v>231</v>
      </c>
      <c r="K208" s="179"/>
      <c r="L208" s="176" t="s">
        <v>349</v>
      </c>
      <c r="M208" s="180">
        <f t="shared" si="12"/>
        <v>4165885.832713107</v>
      </c>
      <c r="N208" s="181">
        <v>0</v>
      </c>
      <c r="O208" s="181">
        <v>0</v>
      </c>
      <c r="P208" s="181">
        <v>0</v>
      </c>
      <c r="Q208" s="181">
        <v>0</v>
      </c>
      <c r="R208" s="181">
        <v>0</v>
      </c>
      <c r="S208" s="182">
        <f t="shared" si="13"/>
        <v>4165885.832713107</v>
      </c>
      <c r="T208" s="183"/>
    </row>
    <row r="209" spans="1:20" ht="11.25">
      <c r="A209" s="175" t="s">
        <v>279</v>
      </c>
      <c r="B209" s="175">
        <v>13</v>
      </c>
      <c r="C209" s="176" t="s">
        <v>469</v>
      </c>
      <c r="D209" s="176" t="s">
        <v>347</v>
      </c>
      <c r="E209" s="176" t="s">
        <v>348</v>
      </c>
      <c r="F209" s="176"/>
      <c r="G209" s="176" t="s">
        <v>324</v>
      </c>
      <c r="H209" s="178" t="s">
        <v>325</v>
      </c>
      <c r="I209" s="175" t="s">
        <v>231</v>
      </c>
      <c r="J209" s="179" t="s">
        <v>231</v>
      </c>
      <c r="K209" s="179"/>
      <c r="L209" s="176" t="s">
        <v>349</v>
      </c>
      <c r="M209" s="180">
        <f t="shared" si="12"/>
        <v>4332521.266021632</v>
      </c>
      <c r="N209" s="181">
        <v>0</v>
      </c>
      <c r="O209" s="181">
        <v>0</v>
      </c>
      <c r="P209" s="181">
        <v>0</v>
      </c>
      <c r="Q209" s="181">
        <v>0</v>
      </c>
      <c r="R209" s="181">
        <v>0</v>
      </c>
      <c r="S209" s="182">
        <f t="shared" si="13"/>
        <v>4332521.266021632</v>
      </c>
      <c r="T209" s="183"/>
    </row>
    <row r="210" spans="1:20" ht="11.25">
      <c r="A210" s="175" t="s">
        <v>280</v>
      </c>
      <c r="B210" s="175">
        <v>14</v>
      </c>
      <c r="C210" s="176" t="s">
        <v>469</v>
      </c>
      <c r="D210" s="176" t="s">
        <v>347</v>
      </c>
      <c r="E210" s="176" t="s">
        <v>348</v>
      </c>
      <c r="F210" s="176"/>
      <c r="G210" s="176" t="s">
        <v>324</v>
      </c>
      <c r="H210" s="178" t="s">
        <v>325</v>
      </c>
      <c r="I210" s="175" t="s">
        <v>231</v>
      </c>
      <c r="J210" s="179" t="s">
        <v>231</v>
      </c>
      <c r="K210" s="179"/>
      <c r="L210" s="176" t="s">
        <v>349</v>
      </c>
      <c r="M210" s="180">
        <f t="shared" si="12"/>
        <v>4505822.116662497</v>
      </c>
      <c r="N210" s="181">
        <v>0</v>
      </c>
      <c r="O210" s="181">
        <v>0</v>
      </c>
      <c r="P210" s="181">
        <v>0</v>
      </c>
      <c r="Q210" s="181">
        <v>0</v>
      </c>
      <c r="R210" s="181">
        <v>0</v>
      </c>
      <c r="S210" s="182">
        <f t="shared" si="13"/>
        <v>4505822.116662497</v>
      </c>
      <c r="T210" s="183"/>
    </row>
    <row r="211" spans="1:20" ht="11.25">
      <c r="A211" s="175" t="s">
        <v>281</v>
      </c>
      <c r="B211" s="175">
        <v>15</v>
      </c>
      <c r="C211" s="176" t="s">
        <v>469</v>
      </c>
      <c r="D211" s="176" t="s">
        <v>347</v>
      </c>
      <c r="E211" s="176" t="s">
        <v>348</v>
      </c>
      <c r="F211" s="176"/>
      <c r="G211" s="176" t="s">
        <v>324</v>
      </c>
      <c r="H211" s="178" t="s">
        <v>325</v>
      </c>
      <c r="I211" s="175" t="s">
        <v>231</v>
      </c>
      <c r="J211" s="179" t="s">
        <v>231</v>
      </c>
      <c r="K211" s="179"/>
      <c r="L211" s="176" t="s">
        <v>349</v>
      </c>
      <c r="M211" s="180">
        <f t="shared" si="12"/>
        <v>4686055.001328996</v>
      </c>
      <c r="N211" s="181">
        <v>0</v>
      </c>
      <c r="O211" s="181">
        <v>0</v>
      </c>
      <c r="P211" s="181">
        <v>0</v>
      </c>
      <c r="Q211" s="181">
        <v>0</v>
      </c>
      <c r="R211" s="181">
        <v>0</v>
      </c>
      <c r="S211" s="182">
        <f t="shared" si="13"/>
        <v>4686055.001328996</v>
      </c>
      <c r="T211" s="183"/>
    </row>
    <row r="212" spans="1:20" ht="11.25">
      <c r="A212" s="175" t="s">
        <v>282</v>
      </c>
      <c r="B212" s="175">
        <v>16</v>
      </c>
      <c r="C212" s="176" t="s">
        <v>469</v>
      </c>
      <c r="D212" s="176" t="s">
        <v>347</v>
      </c>
      <c r="E212" s="176" t="s">
        <v>348</v>
      </c>
      <c r="F212" s="176"/>
      <c r="G212" s="176" t="s">
        <v>324</v>
      </c>
      <c r="H212" s="178" t="s">
        <v>325</v>
      </c>
      <c r="I212" s="175" t="s">
        <v>231</v>
      </c>
      <c r="J212" s="179" t="s">
        <v>231</v>
      </c>
      <c r="K212" s="179"/>
      <c r="L212" s="176" t="s">
        <v>349</v>
      </c>
      <c r="M212" s="180">
        <f t="shared" si="12"/>
        <v>4873497.201382156</v>
      </c>
      <c r="N212" s="181">
        <v>0</v>
      </c>
      <c r="O212" s="181">
        <v>0</v>
      </c>
      <c r="P212" s="181">
        <v>0</v>
      </c>
      <c r="Q212" s="181">
        <v>0</v>
      </c>
      <c r="R212" s="181">
        <v>0</v>
      </c>
      <c r="S212" s="182">
        <f t="shared" si="13"/>
        <v>4873497.201382156</v>
      </c>
      <c r="T212" s="183"/>
    </row>
    <row r="213" spans="1:20" ht="11.25">
      <c r="A213" s="175" t="s">
        <v>283</v>
      </c>
      <c r="B213" s="175">
        <v>17</v>
      </c>
      <c r="C213" s="176" t="s">
        <v>469</v>
      </c>
      <c r="D213" s="176" t="s">
        <v>347</v>
      </c>
      <c r="E213" s="176" t="s">
        <v>348</v>
      </c>
      <c r="F213" s="176"/>
      <c r="G213" s="176" t="s">
        <v>324</v>
      </c>
      <c r="H213" s="178" t="s">
        <v>325</v>
      </c>
      <c r="I213" s="175" t="s">
        <v>231</v>
      </c>
      <c r="J213" s="179" t="s">
        <v>231</v>
      </c>
      <c r="K213" s="179"/>
      <c r="L213" s="176" t="s">
        <v>349</v>
      </c>
      <c r="M213" s="180">
        <f t="shared" si="12"/>
        <v>5068437.089437443</v>
      </c>
      <c r="N213" s="181">
        <v>0</v>
      </c>
      <c r="O213" s="181">
        <v>0</v>
      </c>
      <c r="P213" s="181">
        <v>0</v>
      </c>
      <c r="Q213" s="181">
        <v>0</v>
      </c>
      <c r="R213" s="181">
        <v>0</v>
      </c>
      <c r="S213" s="182">
        <f t="shared" si="13"/>
        <v>5068437.089437443</v>
      </c>
      <c r="T213" s="183"/>
    </row>
    <row r="214" spans="1:20" ht="11.25">
      <c r="A214" s="175" t="s">
        <v>284</v>
      </c>
      <c r="B214" s="175">
        <v>18</v>
      </c>
      <c r="C214" s="176" t="s">
        <v>469</v>
      </c>
      <c r="D214" s="176" t="s">
        <v>347</v>
      </c>
      <c r="E214" s="176" t="s">
        <v>348</v>
      </c>
      <c r="F214" s="176"/>
      <c r="G214" s="176" t="s">
        <v>324</v>
      </c>
      <c r="H214" s="178" t="s">
        <v>325</v>
      </c>
      <c r="I214" s="175" t="s">
        <v>231</v>
      </c>
      <c r="J214" s="179" t="s">
        <v>231</v>
      </c>
      <c r="K214" s="179"/>
      <c r="L214" s="176" t="s">
        <v>349</v>
      </c>
      <c r="M214" s="180">
        <f t="shared" si="12"/>
        <v>5271174.573014941</v>
      </c>
      <c r="N214" s="181">
        <v>0</v>
      </c>
      <c r="O214" s="181">
        <v>0</v>
      </c>
      <c r="P214" s="181">
        <v>0</v>
      </c>
      <c r="Q214" s="181">
        <v>0</v>
      </c>
      <c r="R214" s="181">
        <v>0</v>
      </c>
      <c r="S214" s="182">
        <f t="shared" si="13"/>
        <v>5271174.573014941</v>
      </c>
      <c r="T214" s="183"/>
    </row>
    <row r="215" spans="1:20" ht="11.25">
      <c r="A215" s="175" t="s">
        <v>285</v>
      </c>
      <c r="B215" s="175">
        <v>19</v>
      </c>
      <c r="C215" s="176" t="s">
        <v>469</v>
      </c>
      <c r="D215" s="176" t="s">
        <v>347</v>
      </c>
      <c r="E215" s="176" t="s">
        <v>348</v>
      </c>
      <c r="F215" s="176"/>
      <c r="G215" s="176" t="s">
        <v>324</v>
      </c>
      <c r="H215" s="178" t="s">
        <v>325</v>
      </c>
      <c r="I215" s="175" t="s">
        <v>231</v>
      </c>
      <c r="J215" s="179" t="s">
        <v>231</v>
      </c>
      <c r="K215" s="179"/>
      <c r="L215" s="176" t="s">
        <v>349</v>
      </c>
      <c r="M215" s="180">
        <f t="shared" si="12"/>
        <v>5482021.555935539</v>
      </c>
      <c r="N215" s="181">
        <v>0</v>
      </c>
      <c r="O215" s="181">
        <v>0</v>
      </c>
      <c r="P215" s="181">
        <v>0</v>
      </c>
      <c r="Q215" s="181">
        <v>0</v>
      </c>
      <c r="R215" s="181">
        <v>0</v>
      </c>
      <c r="S215" s="182">
        <f t="shared" si="13"/>
        <v>5482021.555935539</v>
      </c>
      <c r="T215" s="183"/>
    </row>
    <row r="216" spans="1:20" ht="11.25">
      <c r="A216" s="175" t="s">
        <v>303</v>
      </c>
      <c r="B216" s="175">
        <v>20</v>
      </c>
      <c r="C216" s="176" t="s">
        <v>469</v>
      </c>
      <c r="D216" s="176" t="s">
        <v>347</v>
      </c>
      <c r="E216" s="176" t="s">
        <v>348</v>
      </c>
      <c r="F216" s="176"/>
      <c r="G216" s="176" t="s">
        <v>324</v>
      </c>
      <c r="H216" s="178" t="s">
        <v>325</v>
      </c>
      <c r="I216" s="175" t="s">
        <v>231</v>
      </c>
      <c r="J216" s="179" t="s">
        <v>231</v>
      </c>
      <c r="K216" s="179"/>
      <c r="L216" s="176" t="s">
        <v>349</v>
      </c>
      <c r="M216" s="180">
        <f t="shared" si="12"/>
        <v>5701302.418172961</v>
      </c>
      <c r="N216" s="181">
        <v>0</v>
      </c>
      <c r="O216" s="181">
        <v>0</v>
      </c>
      <c r="P216" s="181">
        <v>0</v>
      </c>
      <c r="Q216" s="181">
        <v>0</v>
      </c>
      <c r="R216" s="181">
        <v>0</v>
      </c>
      <c r="S216" s="182">
        <f t="shared" si="13"/>
        <v>5701302.418172961</v>
      </c>
      <c r="T216" s="183"/>
    </row>
    <row r="217" spans="1:20" ht="11.25">
      <c r="A217" s="175" t="s">
        <v>265</v>
      </c>
      <c r="B217" s="175">
        <v>0</v>
      </c>
      <c r="C217" s="176" t="s">
        <v>469</v>
      </c>
      <c r="D217" s="176" t="s">
        <v>331</v>
      </c>
      <c r="E217" s="176" t="s">
        <v>350</v>
      </c>
      <c r="F217" s="176"/>
      <c r="G217" s="176" t="s">
        <v>360</v>
      </c>
      <c r="H217" s="178" t="s">
        <v>325</v>
      </c>
      <c r="I217" s="175" t="s">
        <v>231</v>
      </c>
      <c r="J217" s="179" t="s">
        <v>326</v>
      </c>
      <c r="K217" s="179"/>
      <c r="L217" s="176" t="s">
        <v>351</v>
      </c>
      <c r="M217" s="180">
        <v>1000000</v>
      </c>
      <c r="N217" s="181">
        <v>1000000</v>
      </c>
      <c r="O217" s="181">
        <v>0</v>
      </c>
      <c r="P217" s="181">
        <v>0</v>
      </c>
      <c r="Q217" s="181">
        <v>0</v>
      </c>
      <c r="R217" s="181">
        <v>0</v>
      </c>
      <c r="S217" s="182">
        <f t="shared" si="13"/>
        <v>0</v>
      </c>
      <c r="T217" s="183"/>
    </row>
    <row r="218" spans="1:20" ht="11.25">
      <c r="A218" s="175" t="s">
        <v>267</v>
      </c>
      <c r="B218" s="175">
        <v>1</v>
      </c>
      <c r="C218" s="176" t="s">
        <v>469</v>
      </c>
      <c r="D218" s="176" t="s">
        <v>331</v>
      </c>
      <c r="E218" s="176" t="s">
        <v>350</v>
      </c>
      <c r="F218" s="176"/>
      <c r="G218" s="176" t="s">
        <v>360</v>
      </c>
      <c r="H218" s="178" t="s">
        <v>325</v>
      </c>
      <c r="I218" s="175" t="s">
        <v>231</v>
      </c>
      <c r="J218" s="179" t="s">
        <v>352</v>
      </c>
      <c r="K218" s="179"/>
      <c r="L218" s="176" t="s">
        <v>351</v>
      </c>
      <c r="M218" s="180">
        <v>1000000</v>
      </c>
      <c r="N218" s="181">
        <f>M218</f>
        <v>1000000</v>
      </c>
      <c r="O218" s="181">
        <v>0</v>
      </c>
      <c r="P218" s="181">
        <v>0</v>
      </c>
      <c r="Q218" s="181">
        <v>0</v>
      </c>
      <c r="R218" s="181">
        <v>0</v>
      </c>
      <c r="S218" s="182">
        <f t="shared" si="13"/>
        <v>0</v>
      </c>
      <c r="T218" s="183"/>
    </row>
    <row r="219" spans="1:20" ht="11.25">
      <c r="A219" s="175" t="s">
        <v>268</v>
      </c>
      <c r="B219" s="175">
        <v>2</v>
      </c>
      <c r="C219" s="176" t="s">
        <v>469</v>
      </c>
      <c r="D219" s="176" t="s">
        <v>331</v>
      </c>
      <c r="E219" s="176" t="s">
        <v>350</v>
      </c>
      <c r="F219" s="176"/>
      <c r="G219" s="176" t="s">
        <v>360</v>
      </c>
      <c r="H219" s="178" t="s">
        <v>325</v>
      </c>
      <c r="I219" s="175" t="s">
        <v>231</v>
      </c>
      <c r="J219" s="179" t="s">
        <v>352</v>
      </c>
      <c r="K219" s="179"/>
      <c r="L219" s="176" t="s">
        <v>351</v>
      </c>
      <c r="M219" s="180">
        <f aca="true" t="shared" si="14" ref="M219:M237">IF(J219="Y",M218*(1+$C$4),IF(J219="I",M218*(1+$E$4),M218))</f>
        <v>1024999.9999999999</v>
      </c>
      <c r="N219" s="181">
        <f aca="true" t="shared" si="15" ref="N219:N258">M219</f>
        <v>1024999.9999999999</v>
      </c>
      <c r="O219" s="181">
        <v>0</v>
      </c>
      <c r="P219" s="181">
        <v>0</v>
      </c>
      <c r="Q219" s="181">
        <v>0</v>
      </c>
      <c r="R219" s="181">
        <v>0</v>
      </c>
      <c r="S219" s="182">
        <f t="shared" si="13"/>
        <v>0</v>
      </c>
      <c r="T219" s="183"/>
    </row>
    <row r="220" spans="1:20" ht="11.25">
      <c r="A220" s="175" t="s">
        <v>269</v>
      </c>
      <c r="B220" s="175">
        <v>3</v>
      </c>
      <c r="C220" s="176" t="s">
        <v>469</v>
      </c>
      <c r="D220" s="176" t="s">
        <v>331</v>
      </c>
      <c r="E220" s="176" t="s">
        <v>350</v>
      </c>
      <c r="F220" s="176"/>
      <c r="G220" s="176" t="s">
        <v>360</v>
      </c>
      <c r="H220" s="178" t="s">
        <v>325</v>
      </c>
      <c r="I220" s="175" t="s">
        <v>231</v>
      </c>
      <c r="J220" s="179" t="s">
        <v>352</v>
      </c>
      <c r="K220" s="179"/>
      <c r="L220" s="176" t="s">
        <v>351</v>
      </c>
      <c r="M220" s="180">
        <f t="shared" si="14"/>
        <v>1050624.9999999998</v>
      </c>
      <c r="N220" s="181">
        <f t="shared" si="15"/>
        <v>1050624.9999999998</v>
      </c>
      <c r="O220" s="181">
        <v>0</v>
      </c>
      <c r="P220" s="181">
        <v>0</v>
      </c>
      <c r="Q220" s="181">
        <v>0</v>
      </c>
      <c r="R220" s="181">
        <v>0</v>
      </c>
      <c r="S220" s="182">
        <f t="shared" si="13"/>
        <v>0</v>
      </c>
      <c r="T220" s="183"/>
    </row>
    <row r="221" spans="1:20" ht="11.25">
      <c r="A221" s="175" t="s">
        <v>270</v>
      </c>
      <c r="B221" s="175">
        <v>4</v>
      </c>
      <c r="C221" s="176" t="s">
        <v>469</v>
      </c>
      <c r="D221" s="176" t="s">
        <v>331</v>
      </c>
      <c r="E221" s="176" t="s">
        <v>350</v>
      </c>
      <c r="F221" s="176"/>
      <c r="G221" s="176" t="s">
        <v>360</v>
      </c>
      <c r="H221" s="178" t="s">
        <v>325</v>
      </c>
      <c r="I221" s="175" t="s">
        <v>231</v>
      </c>
      <c r="J221" s="179" t="s">
        <v>352</v>
      </c>
      <c r="K221" s="179"/>
      <c r="L221" s="176" t="s">
        <v>351</v>
      </c>
      <c r="M221" s="180">
        <f t="shared" si="14"/>
        <v>1076890.6249999998</v>
      </c>
      <c r="N221" s="181">
        <f t="shared" si="15"/>
        <v>1076890.6249999998</v>
      </c>
      <c r="O221" s="181">
        <v>0</v>
      </c>
      <c r="P221" s="181">
        <v>0</v>
      </c>
      <c r="Q221" s="181">
        <v>0</v>
      </c>
      <c r="R221" s="181">
        <v>0</v>
      </c>
      <c r="S221" s="182">
        <f t="shared" si="13"/>
        <v>0</v>
      </c>
      <c r="T221" s="183"/>
    </row>
    <row r="222" spans="1:20" ht="11.25">
      <c r="A222" s="175" t="s">
        <v>271</v>
      </c>
      <c r="B222" s="175">
        <v>5</v>
      </c>
      <c r="C222" s="176" t="s">
        <v>469</v>
      </c>
      <c r="D222" s="176" t="s">
        <v>331</v>
      </c>
      <c r="E222" s="176" t="s">
        <v>350</v>
      </c>
      <c r="F222" s="176"/>
      <c r="G222" s="176" t="s">
        <v>360</v>
      </c>
      <c r="H222" s="178" t="s">
        <v>325</v>
      </c>
      <c r="I222" s="175" t="s">
        <v>231</v>
      </c>
      <c r="J222" s="179" t="s">
        <v>352</v>
      </c>
      <c r="K222" s="179"/>
      <c r="L222" s="176" t="s">
        <v>351</v>
      </c>
      <c r="M222" s="180">
        <f t="shared" si="14"/>
        <v>1103812.8906249998</v>
      </c>
      <c r="N222" s="181">
        <f t="shared" si="15"/>
        <v>1103812.8906249998</v>
      </c>
      <c r="O222" s="181">
        <v>0</v>
      </c>
      <c r="P222" s="181">
        <v>0</v>
      </c>
      <c r="Q222" s="181">
        <v>0</v>
      </c>
      <c r="R222" s="181">
        <v>0</v>
      </c>
      <c r="S222" s="182">
        <f t="shared" si="13"/>
        <v>0</v>
      </c>
      <c r="T222" s="183"/>
    </row>
    <row r="223" spans="1:20" ht="11.25">
      <c r="A223" s="175" t="s">
        <v>272</v>
      </c>
      <c r="B223" s="175">
        <v>6</v>
      </c>
      <c r="C223" s="176" t="s">
        <v>469</v>
      </c>
      <c r="D223" s="176" t="s">
        <v>331</v>
      </c>
      <c r="E223" s="176" t="s">
        <v>350</v>
      </c>
      <c r="F223" s="176"/>
      <c r="G223" s="176" t="s">
        <v>360</v>
      </c>
      <c r="H223" s="178" t="s">
        <v>325</v>
      </c>
      <c r="I223" s="175" t="s">
        <v>231</v>
      </c>
      <c r="J223" s="179" t="s">
        <v>352</v>
      </c>
      <c r="K223" s="179"/>
      <c r="L223" s="176" t="s">
        <v>351</v>
      </c>
      <c r="M223" s="180">
        <f t="shared" si="14"/>
        <v>1131408.2128906248</v>
      </c>
      <c r="N223" s="181">
        <f t="shared" si="15"/>
        <v>1131408.2128906248</v>
      </c>
      <c r="O223" s="181">
        <v>0</v>
      </c>
      <c r="P223" s="181">
        <v>0</v>
      </c>
      <c r="Q223" s="181">
        <v>0</v>
      </c>
      <c r="R223" s="181">
        <v>0</v>
      </c>
      <c r="S223" s="182">
        <f t="shared" si="13"/>
        <v>0</v>
      </c>
      <c r="T223" s="183"/>
    </row>
    <row r="224" spans="1:20" ht="11.25">
      <c r="A224" s="175" t="s">
        <v>273</v>
      </c>
      <c r="B224" s="175">
        <v>7</v>
      </c>
      <c r="C224" s="176" t="s">
        <v>469</v>
      </c>
      <c r="D224" s="176" t="s">
        <v>331</v>
      </c>
      <c r="E224" s="176" t="s">
        <v>350</v>
      </c>
      <c r="F224" s="176"/>
      <c r="G224" s="176" t="s">
        <v>360</v>
      </c>
      <c r="H224" s="178" t="s">
        <v>325</v>
      </c>
      <c r="I224" s="175" t="s">
        <v>231</v>
      </c>
      <c r="J224" s="179" t="s">
        <v>352</v>
      </c>
      <c r="K224" s="179"/>
      <c r="L224" s="176" t="s">
        <v>351</v>
      </c>
      <c r="M224" s="180">
        <f t="shared" si="14"/>
        <v>1159693.4182128904</v>
      </c>
      <c r="N224" s="181">
        <f t="shared" si="15"/>
        <v>1159693.4182128904</v>
      </c>
      <c r="O224" s="181">
        <v>0</v>
      </c>
      <c r="P224" s="181">
        <v>0</v>
      </c>
      <c r="Q224" s="181">
        <v>0</v>
      </c>
      <c r="R224" s="181">
        <v>0</v>
      </c>
      <c r="S224" s="182">
        <f t="shared" si="13"/>
        <v>0</v>
      </c>
      <c r="T224" s="183"/>
    </row>
    <row r="225" spans="1:20" ht="11.25">
      <c r="A225" s="175" t="s">
        <v>274</v>
      </c>
      <c r="B225" s="175">
        <v>8</v>
      </c>
      <c r="C225" s="176" t="s">
        <v>469</v>
      </c>
      <c r="D225" s="176" t="s">
        <v>331</v>
      </c>
      <c r="E225" s="176" t="s">
        <v>350</v>
      </c>
      <c r="F225" s="176"/>
      <c r="G225" s="176" t="s">
        <v>360</v>
      </c>
      <c r="H225" s="178" t="s">
        <v>325</v>
      </c>
      <c r="I225" s="175" t="s">
        <v>231</v>
      </c>
      <c r="J225" s="179" t="s">
        <v>352</v>
      </c>
      <c r="K225" s="179"/>
      <c r="L225" s="176" t="s">
        <v>351</v>
      </c>
      <c r="M225" s="180">
        <f t="shared" si="14"/>
        <v>1188685.7536682126</v>
      </c>
      <c r="N225" s="181">
        <f t="shared" si="15"/>
        <v>1188685.7536682126</v>
      </c>
      <c r="O225" s="181">
        <v>0</v>
      </c>
      <c r="P225" s="181">
        <v>0</v>
      </c>
      <c r="Q225" s="181">
        <v>0</v>
      </c>
      <c r="R225" s="181">
        <v>0</v>
      </c>
      <c r="S225" s="182">
        <f t="shared" si="13"/>
        <v>0</v>
      </c>
      <c r="T225" s="183"/>
    </row>
    <row r="226" spans="1:20" ht="11.25">
      <c r="A226" s="175" t="s">
        <v>275</v>
      </c>
      <c r="B226" s="175">
        <v>9</v>
      </c>
      <c r="C226" s="176" t="s">
        <v>469</v>
      </c>
      <c r="D226" s="176" t="s">
        <v>331</v>
      </c>
      <c r="E226" s="176" t="s">
        <v>350</v>
      </c>
      <c r="F226" s="176"/>
      <c r="G226" s="176" t="s">
        <v>360</v>
      </c>
      <c r="H226" s="178" t="s">
        <v>325</v>
      </c>
      <c r="I226" s="175" t="s">
        <v>231</v>
      </c>
      <c r="J226" s="179" t="s">
        <v>352</v>
      </c>
      <c r="K226" s="179"/>
      <c r="L226" s="176" t="s">
        <v>351</v>
      </c>
      <c r="M226" s="180">
        <f t="shared" si="14"/>
        <v>1218402.8975099178</v>
      </c>
      <c r="N226" s="181">
        <f t="shared" si="15"/>
        <v>1218402.8975099178</v>
      </c>
      <c r="O226" s="181">
        <v>0</v>
      </c>
      <c r="P226" s="181">
        <v>0</v>
      </c>
      <c r="Q226" s="181">
        <v>0</v>
      </c>
      <c r="R226" s="181">
        <v>0</v>
      </c>
      <c r="S226" s="182">
        <f t="shared" si="13"/>
        <v>0</v>
      </c>
      <c r="T226" s="183"/>
    </row>
    <row r="227" spans="1:20" ht="11.25">
      <c r="A227" s="175" t="s">
        <v>276</v>
      </c>
      <c r="B227" s="175">
        <v>10</v>
      </c>
      <c r="C227" s="176" t="s">
        <v>469</v>
      </c>
      <c r="D227" s="176" t="s">
        <v>331</v>
      </c>
      <c r="E227" s="176" t="s">
        <v>350</v>
      </c>
      <c r="F227" s="176"/>
      <c r="G227" s="176" t="s">
        <v>360</v>
      </c>
      <c r="H227" s="178" t="s">
        <v>325</v>
      </c>
      <c r="I227" s="175" t="s">
        <v>231</v>
      </c>
      <c r="J227" s="179" t="s">
        <v>352</v>
      </c>
      <c r="K227" s="179"/>
      <c r="L227" s="176" t="s">
        <v>351</v>
      </c>
      <c r="M227" s="180">
        <f t="shared" si="14"/>
        <v>1248862.9699476657</v>
      </c>
      <c r="N227" s="181">
        <f t="shared" si="15"/>
        <v>1248862.9699476657</v>
      </c>
      <c r="O227" s="181">
        <v>0</v>
      </c>
      <c r="P227" s="181">
        <v>0</v>
      </c>
      <c r="Q227" s="181">
        <v>0</v>
      </c>
      <c r="R227" s="181">
        <v>0</v>
      </c>
      <c r="S227" s="182">
        <f t="shared" si="13"/>
        <v>0</v>
      </c>
      <c r="T227" s="183"/>
    </row>
    <row r="228" spans="1:20" ht="11.25">
      <c r="A228" s="175" t="s">
        <v>277</v>
      </c>
      <c r="B228" s="175">
        <v>11</v>
      </c>
      <c r="C228" s="176" t="s">
        <v>469</v>
      </c>
      <c r="D228" s="176" t="s">
        <v>331</v>
      </c>
      <c r="E228" s="176" t="s">
        <v>350</v>
      </c>
      <c r="F228" s="176"/>
      <c r="G228" s="176" t="s">
        <v>360</v>
      </c>
      <c r="H228" s="178" t="s">
        <v>325</v>
      </c>
      <c r="I228" s="175" t="s">
        <v>231</v>
      </c>
      <c r="J228" s="179" t="s">
        <v>352</v>
      </c>
      <c r="K228" s="179"/>
      <c r="L228" s="176" t="s">
        <v>351</v>
      </c>
      <c r="M228" s="180">
        <f t="shared" si="14"/>
        <v>1280084.5441963573</v>
      </c>
      <c r="N228" s="181">
        <f t="shared" si="15"/>
        <v>1280084.5441963573</v>
      </c>
      <c r="O228" s="181">
        <v>0</v>
      </c>
      <c r="P228" s="181">
        <v>0</v>
      </c>
      <c r="Q228" s="181">
        <v>0</v>
      </c>
      <c r="R228" s="181">
        <v>0</v>
      </c>
      <c r="S228" s="182">
        <f t="shared" si="13"/>
        <v>0</v>
      </c>
      <c r="T228" s="183"/>
    </row>
    <row r="229" spans="1:20" ht="11.25">
      <c r="A229" s="175" t="s">
        <v>278</v>
      </c>
      <c r="B229" s="175">
        <v>12</v>
      </c>
      <c r="C229" s="176" t="s">
        <v>469</v>
      </c>
      <c r="D229" s="176" t="s">
        <v>331</v>
      </c>
      <c r="E229" s="176" t="s">
        <v>350</v>
      </c>
      <c r="F229" s="176"/>
      <c r="G229" s="176" t="s">
        <v>360</v>
      </c>
      <c r="H229" s="178" t="s">
        <v>325</v>
      </c>
      <c r="I229" s="175" t="s">
        <v>231</v>
      </c>
      <c r="J229" s="179" t="s">
        <v>352</v>
      </c>
      <c r="K229" s="179"/>
      <c r="L229" s="176" t="s">
        <v>351</v>
      </c>
      <c r="M229" s="180">
        <f t="shared" si="14"/>
        <v>1312086.657801266</v>
      </c>
      <c r="N229" s="181">
        <f t="shared" si="15"/>
        <v>1312086.657801266</v>
      </c>
      <c r="O229" s="181">
        <v>0</v>
      </c>
      <c r="P229" s="181">
        <v>0</v>
      </c>
      <c r="Q229" s="181">
        <v>0</v>
      </c>
      <c r="R229" s="181">
        <v>0</v>
      </c>
      <c r="S229" s="182">
        <f t="shared" si="13"/>
        <v>0</v>
      </c>
      <c r="T229" s="183"/>
    </row>
    <row r="230" spans="1:20" ht="11.25">
      <c r="A230" s="175" t="s">
        <v>279</v>
      </c>
      <c r="B230" s="175">
        <v>13</v>
      </c>
      <c r="C230" s="176" t="s">
        <v>469</v>
      </c>
      <c r="D230" s="176" t="s">
        <v>331</v>
      </c>
      <c r="E230" s="176" t="s">
        <v>350</v>
      </c>
      <c r="F230" s="176"/>
      <c r="G230" s="176" t="s">
        <v>360</v>
      </c>
      <c r="H230" s="178" t="s">
        <v>325</v>
      </c>
      <c r="I230" s="175" t="s">
        <v>231</v>
      </c>
      <c r="J230" s="179" t="s">
        <v>352</v>
      </c>
      <c r="K230" s="179"/>
      <c r="L230" s="176" t="s">
        <v>351</v>
      </c>
      <c r="M230" s="180">
        <f t="shared" si="14"/>
        <v>1344888.8242462976</v>
      </c>
      <c r="N230" s="181">
        <f t="shared" si="15"/>
        <v>1344888.8242462976</v>
      </c>
      <c r="O230" s="181">
        <v>0</v>
      </c>
      <c r="P230" s="181">
        <v>0</v>
      </c>
      <c r="Q230" s="181">
        <v>0</v>
      </c>
      <c r="R230" s="181">
        <v>0</v>
      </c>
      <c r="S230" s="182">
        <f t="shared" si="13"/>
        <v>0</v>
      </c>
      <c r="T230" s="183"/>
    </row>
    <row r="231" spans="1:20" ht="11.25">
      <c r="A231" s="175" t="s">
        <v>280</v>
      </c>
      <c r="B231" s="175">
        <v>14</v>
      </c>
      <c r="C231" s="176" t="s">
        <v>469</v>
      </c>
      <c r="D231" s="176" t="s">
        <v>331</v>
      </c>
      <c r="E231" s="176" t="s">
        <v>350</v>
      </c>
      <c r="F231" s="176"/>
      <c r="G231" s="176" t="s">
        <v>360</v>
      </c>
      <c r="H231" s="178" t="s">
        <v>325</v>
      </c>
      <c r="I231" s="175" t="s">
        <v>231</v>
      </c>
      <c r="J231" s="179" t="s">
        <v>352</v>
      </c>
      <c r="K231" s="179"/>
      <c r="L231" s="176" t="s">
        <v>351</v>
      </c>
      <c r="M231" s="180">
        <f t="shared" si="14"/>
        <v>1378511.044852455</v>
      </c>
      <c r="N231" s="181">
        <f t="shared" si="15"/>
        <v>1378511.044852455</v>
      </c>
      <c r="O231" s="181">
        <v>0</v>
      </c>
      <c r="P231" s="181">
        <v>0</v>
      </c>
      <c r="Q231" s="181">
        <v>0</v>
      </c>
      <c r="R231" s="181">
        <v>0</v>
      </c>
      <c r="S231" s="182">
        <f t="shared" si="13"/>
        <v>0</v>
      </c>
      <c r="T231" s="183"/>
    </row>
    <row r="232" spans="1:20" ht="11.25">
      <c r="A232" s="175" t="s">
        <v>281</v>
      </c>
      <c r="B232" s="175">
        <v>15</v>
      </c>
      <c r="C232" s="176" t="s">
        <v>469</v>
      </c>
      <c r="D232" s="176" t="s">
        <v>331</v>
      </c>
      <c r="E232" s="176" t="s">
        <v>350</v>
      </c>
      <c r="F232" s="176"/>
      <c r="G232" s="176" t="s">
        <v>360</v>
      </c>
      <c r="H232" s="178" t="s">
        <v>325</v>
      </c>
      <c r="I232" s="175" t="s">
        <v>231</v>
      </c>
      <c r="J232" s="179" t="s">
        <v>352</v>
      </c>
      <c r="K232" s="179"/>
      <c r="L232" s="176" t="s">
        <v>351</v>
      </c>
      <c r="M232" s="180">
        <f t="shared" si="14"/>
        <v>1412973.8209737663</v>
      </c>
      <c r="N232" s="181">
        <f t="shared" si="15"/>
        <v>1412973.8209737663</v>
      </c>
      <c r="O232" s="181">
        <v>0</v>
      </c>
      <c r="P232" s="181">
        <v>0</v>
      </c>
      <c r="Q232" s="181">
        <v>0</v>
      </c>
      <c r="R232" s="181">
        <v>0</v>
      </c>
      <c r="S232" s="182">
        <f t="shared" si="13"/>
        <v>0</v>
      </c>
      <c r="T232" s="183"/>
    </row>
    <row r="233" spans="1:20" ht="11.25">
      <c r="A233" s="175" t="s">
        <v>282</v>
      </c>
      <c r="B233" s="175">
        <v>16</v>
      </c>
      <c r="C233" s="176" t="s">
        <v>469</v>
      </c>
      <c r="D233" s="176" t="s">
        <v>331</v>
      </c>
      <c r="E233" s="176" t="s">
        <v>350</v>
      </c>
      <c r="F233" s="176"/>
      <c r="G233" s="176" t="s">
        <v>360</v>
      </c>
      <c r="H233" s="178" t="s">
        <v>325</v>
      </c>
      <c r="I233" s="175" t="s">
        <v>231</v>
      </c>
      <c r="J233" s="179" t="s">
        <v>352</v>
      </c>
      <c r="K233" s="179"/>
      <c r="L233" s="176" t="s">
        <v>351</v>
      </c>
      <c r="M233" s="180">
        <f t="shared" si="14"/>
        <v>1448298.1664981104</v>
      </c>
      <c r="N233" s="181">
        <f t="shared" si="15"/>
        <v>1448298.1664981104</v>
      </c>
      <c r="O233" s="181">
        <v>0</v>
      </c>
      <c r="P233" s="181">
        <v>0</v>
      </c>
      <c r="Q233" s="181">
        <v>0</v>
      </c>
      <c r="R233" s="181">
        <v>0</v>
      </c>
      <c r="S233" s="182">
        <f t="shared" si="13"/>
        <v>0</v>
      </c>
      <c r="T233" s="183"/>
    </row>
    <row r="234" spans="1:20" ht="11.25">
      <c r="A234" s="175" t="s">
        <v>283</v>
      </c>
      <c r="B234" s="175">
        <v>17</v>
      </c>
      <c r="C234" s="176" t="s">
        <v>469</v>
      </c>
      <c r="D234" s="176" t="s">
        <v>331</v>
      </c>
      <c r="E234" s="176" t="s">
        <v>350</v>
      </c>
      <c r="F234" s="176"/>
      <c r="G234" s="176" t="s">
        <v>360</v>
      </c>
      <c r="H234" s="178" t="s">
        <v>325</v>
      </c>
      <c r="I234" s="175" t="s">
        <v>231</v>
      </c>
      <c r="J234" s="179" t="s">
        <v>352</v>
      </c>
      <c r="K234" s="179"/>
      <c r="L234" s="176" t="s">
        <v>351</v>
      </c>
      <c r="M234" s="180">
        <f t="shared" si="14"/>
        <v>1484505.620660563</v>
      </c>
      <c r="N234" s="181">
        <f t="shared" si="15"/>
        <v>1484505.620660563</v>
      </c>
      <c r="O234" s="181">
        <v>0</v>
      </c>
      <c r="P234" s="181">
        <v>0</v>
      </c>
      <c r="Q234" s="181">
        <v>0</v>
      </c>
      <c r="R234" s="181">
        <v>0</v>
      </c>
      <c r="S234" s="182">
        <f t="shared" si="13"/>
        <v>0</v>
      </c>
      <c r="T234" s="183"/>
    </row>
    <row r="235" spans="1:20" ht="11.25">
      <c r="A235" s="175" t="s">
        <v>284</v>
      </c>
      <c r="B235" s="175">
        <v>18</v>
      </c>
      <c r="C235" s="176" t="s">
        <v>469</v>
      </c>
      <c r="D235" s="176" t="s">
        <v>331</v>
      </c>
      <c r="E235" s="176" t="s">
        <v>350</v>
      </c>
      <c r="F235" s="176"/>
      <c r="G235" s="176" t="s">
        <v>360</v>
      </c>
      <c r="H235" s="178" t="s">
        <v>325</v>
      </c>
      <c r="I235" s="175" t="s">
        <v>231</v>
      </c>
      <c r="J235" s="179" t="s">
        <v>352</v>
      </c>
      <c r="K235" s="179"/>
      <c r="L235" s="176" t="s">
        <v>351</v>
      </c>
      <c r="M235" s="180">
        <f t="shared" si="14"/>
        <v>1521618.261177077</v>
      </c>
      <c r="N235" s="181">
        <f t="shared" si="15"/>
        <v>1521618.261177077</v>
      </c>
      <c r="O235" s="181">
        <v>0</v>
      </c>
      <c r="P235" s="181">
        <v>0</v>
      </c>
      <c r="Q235" s="181">
        <v>0</v>
      </c>
      <c r="R235" s="181">
        <v>0</v>
      </c>
      <c r="S235" s="182">
        <f t="shared" si="13"/>
        <v>0</v>
      </c>
      <c r="T235" s="183"/>
    </row>
    <row r="236" spans="1:20" ht="11.25">
      <c r="A236" s="175" t="s">
        <v>285</v>
      </c>
      <c r="B236" s="175">
        <v>19</v>
      </c>
      <c r="C236" s="176" t="s">
        <v>469</v>
      </c>
      <c r="D236" s="176" t="s">
        <v>331</v>
      </c>
      <c r="E236" s="176" t="s">
        <v>350</v>
      </c>
      <c r="F236" s="176"/>
      <c r="G236" s="176" t="s">
        <v>360</v>
      </c>
      <c r="H236" s="178" t="s">
        <v>325</v>
      </c>
      <c r="I236" s="175" t="s">
        <v>231</v>
      </c>
      <c r="J236" s="179" t="s">
        <v>352</v>
      </c>
      <c r="K236" s="179"/>
      <c r="L236" s="176" t="s">
        <v>351</v>
      </c>
      <c r="M236" s="180">
        <f t="shared" si="14"/>
        <v>1559658.7177065038</v>
      </c>
      <c r="N236" s="181">
        <f t="shared" si="15"/>
        <v>1559658.7177065038</v>
      </c>
      <c r="O236" s="181">
        <v>0</v>
      </c>
      <c r="P236" s="181">
        <v>0</v>
      </c>
      <c r="Q236" s="181">
        <v>0</v>
      </c>
      <c r="R236" s="181">
        <v>0</v>
      </c>
      <c r="S236" s="182">
        <f t="shared" si="13"/>
        <v>0</v>
      </c>
      <c r="T236" s="183"/>
    </row>
    <row r="237" spans="1:20" ht="11.25">
      <c r="A237" s="175" t="s">
        <v>303</v>
      </c>
      <c r="B237" s="175">
        <v>20</v>
      </c>
      <c r="C237" s="176" t="s">
        <v>469</v>
      </c>
      <c r="D237" s="176" t="s">
        <v>331</v>
      </c>
      <c r="E237" s="176" t="s">
        <v>350</v>
      </c>
      <c r="F237" s="176"/>
      <c r="G237" s="176" t="s">
        <v>360</v>
      </c>
      <c r="H237" s="178" t="s">
        <v>325</v>
      </c>
      <c r="I237" s="175" t="s">
        <v>231</v>
      </c>
      <c r="J237" s="179" t="s">
        <v>352</v>
      </c>
      <c r="K237" s="179"/>
      <c r="L237" s="176" t="s">
        <v>351</v>
      </c>
      <c r="M237" s="180">
        <f t="shared" si="14"/>
        <v>1598650.1856491663</v>
      </c>
      <c r="N237" s="181">
        <f t="shared" si="15"/>
        <v>1598650.1856491663</v>
      </c>
      <c r="O237" s="181">
        <v>0</v>
      </c>
      <c r="P237" s="181">
        <v>0</v>
      </c>
      <c r="Q237" s="181">
        <v>0</v>
      </c>
      <c r="R237" s="181">
        <v>0</v>
      </c>
      <c r="S237" s="182">
        <f t="shared" si="13"/>
        <v>0</v>
      </c>
      <c r="T237" s="183"/>
    </row>
    <row r="238" spans="1:20" ht="11.25">
      <c r="A238" s="175" t="s">
        <v>265</v>
      </c>
      <c r="B238" s="175">
        <v>0</v>
      </c>
      <c r="C238" s="176" t="s">
        <v>469</v>
      </c>
      <c r="D238" s="176" t="s">
        <v>331</v>
      </c>
      <c r="E238" s="176" t="s">
        <v>350</v>
      </c>
      <c r="F238" s="176"/>
      <c r="G238" s="176" t="s">
        <v>324</v>
      </c>
      <c r="H238" s="178" t="s">
        <v>325</v>
      </c>
      <c r="I238" s="175" t="s">
        <v>231</v>
      </c>
      <c r="J238" s="179" t="s">
        <v>326</v>
      </c>
      <c r="K238" s="179"/>
      <c r="L238" s="176" t="s">
        <v>353</v>
      </c>
      <c r="M238" s="180">
        <v>1000000</v>
      </c>
      <c r="N238" s="181">
        <v>1000000</v>
      </c>
      <c r="O238" s="181">
        <v>0</v>
      </c>
      <c r="P238" s="181">
        <v>0</v>
      </c>
      <c r="Q238" s="181">
        <v>0</v>
      </c>
      <c r="R238" s="181">
        <v>0</v>
      </c>
      <c r="S238" s="182">
        <f t="shared" si="13"/>
        <v>0</v>
      </c>
      <c r="T238" s="183"/>
    </row>
    <row r="239" spans="1:20" ht="11.25">
      <c r="A239" s="175" t="s">
        <v>267</v>
      </c>
      <c r="B239" s="175">
        <v>1</v>
      </c>
      <c r="C239" s="176" t="s">
        <v>469</v>
      </c>
      <c r="D239" s="176" t="s">
        <v>331</v>
      </c>
      <c r="E239" s="176" t="s">
        <v>350</v>
      </c>
      <c r="F239" s="176"/>
      <c r="G239" s="176" t="s">
        <v>324</v>
      </c>
      <c r="H239" s="178" t="s">
        <v>325</v>
      </c>
      <c r="I239" s="175" t="s">
        <v>231</v>
      </c>
      <c r="J239" s="179" t="s">
        <v>352</v>
      </c>
      <c r="K239" s="179"/>
      <c r="L239" s="176" t="s">
        <v>353</v>
      </c>
      <c r="M239" s="180">
        <v>1000000</v>
      </c>
      <c r="N239" s="181">
        <f t="shared" si="15"/>
        <v>1000000</v>
      </c>
      <c r="O239" s="181">
        <v>0</v>
      </c>
      <c r="P239" s="181">
        <v>0</v>
      </c>
      <c r="Q239" s="181">
        <v>0</v>
      </c>
      <c r="R239" s="181">
        <v>0</v>
      </c>
      <c r="S239" s="182">
        <f t="shared" si="13"/>
        <v>0</v>
      </c>
      <c r="T239" s="183"/>
    </row>
    <row r="240" spans="1:20" ht="11.25">
      <c r="A240" s="175" t="s">
        <v>268</v>
      </c>
      <c r="B240" s="175">
        <v>2</v>
      </c>
      <c r="C240" s="176" t="s">
        <v>469</v>
      </c>
      <c r="D240" s="176" t="s">
        <v>331</v>
      </c>
      <c r="E240" s="176" t="s">
        <v>350</v>
      </c>
      <c r="F240" s="176"/>
      <c r="G240" s="176" t="s">
        <v>324</v>
      </c>
      <c r="H240" s="178" t="s">
        <v>325</v>
      </c>
      <c r="I240" s="175" t="s">
        <v>231</v>
      </c>
      <c r="J240" s="179" t="s">
        <v>352</v>
      </c>
      <c r="K240" s="179"/>
      <c r="L240" s="176" t="s">
        <v>353</v>
      </c>
      <c r="M240" s="180">
        <f aca="true" t="shared" si="16" ref="M240:M258">IF(J240="Y",M239*(1+$C$4),IF(J240="I",M239*(1+$E$4),M239))</f>
        <v>1024999.9999999999</v>
      </c>
      <c r="N240" s="181">
        <f t="shared" si="15"/>
        <v>1024999.9999999999</v>
      </c>
      <c r="O240" s="181">
        <v>0</v>
      </c>
      <c r="P240" s="181">
        <v>0</v>
      </c>
      <c r="Q240" s="181">
        <v>0</v>
      </c>
      <c r="R240" s="181">
        <v>0</v>
      </c>
      <c r="S240" s="182">
        <f t="shared" si="13"/>
        <v>0</v>
      </c>
      <c r="T240" s="183"/>
    </row>
    <row r="241" spans="1:20" ht="11.25">
      <c r="A241" s="175" t="s">
        <v>269</v>
      </c>
      <c r="B241" s="175">
        <v>3</v>
      </c>
      <c r="C241" s="176" t="s">
        <v>469</v>
      </c>
      <c r="D241" s="176" t="s">
        <v>331</v>
      </c>
      <c r="E241" s="176" t="s">
        <v>350</v>
      </c>
      <c r="F241" s="176"/>
      <c r="G241" s="176" t="s">
        <v>324</v>
      </c>
      <c r="H241" s="178" t="s">
        <v>325</v>
      </c>
      <c r="I241" s="175" t="s">
        <v>231</v>
      </c>
      <c r="J241" s="179" t="s">
        <v>352</v>
      </c>
      <c r="K241" s="179"/>
      <c r="L241" s="176" t="s">
        <v>353</v>
      </c>
      <c r="M241" s="180">
        <f t="shared" si="16"/>
        <v>1050624.9999999998</v>
      </c>
      <c r="N241" s="181">
        <f t="shared" si="15"/>
        <v>1050624.9999999998</v>
      </c>
      <c r="O241" s="181">
        <v>0</v>
      </c>
      <c r="P241" s="181">
        <v>0</v>
      </c>
      <c r="Q241" s="181">
        <v>0</v>
      </c>
      <c r="R241" s="181">
        <v>0</v>
      </c>
      <c r="S241" s="182">
        <f t="shared" si="13"/>
        <v>0</v>
      </c>
      <c r="T241" s="183"/>
    </row>
    <row r="242" spans="1:20" ht="11.25">
      <c r="A242" s="175" t="s">
        <v>270</v>
      </c>
      <c r="B242" s="175">
        <v>4</v>
      </c>
      <c r="C242" s="176" t="s">
        <v>469</v>
      </c>
      <c r="D242" s="176" t="s">
        <v>331</v>
      </c>
      <c r="E242" s="176" t="s">
        <v>350</v>
      </c>
      <c r="F242" s="176"/>
      <c r="G242" s="176" t="s">
        <v>324</v>
      </c>
      <c r="H242" s="178" t="s">
        <v>325</v>
      </c>
      <c r="I242" s="175" t="s">
        <v>231</v>
      </c>
      <c r="J242" s="179" t="s">
        <v>352</v>
      </c>
      <c r="K242" s="179"/>
      <c r="L242" s="176" t="s">
        <v>353</v>
      </c>
      <c r="M242" s="180">
        <f t="shared" si="16"/>
        <v>1076890.6249999998</v>
      </c>
      <c r="N242" s="181">
        <f t="shared" si="15"/>
        <v>1076890.6249999998</v>
      </c>
      <c r="O242" s="181">
        <v>0</v>
      </c>
      <c r="P242" s="181">
        <v>0</v>
      </c>
      <c r="Q242" s="181">
        <v>0</v>
      </c>
      <c r="R242" s="181">
        <v>0</v>
      </c>
      <c r="S242" s="182">
        <f t="shared" si="13"/>
        <v>0</v>
      </c>
      <c r="T242" s="183"/>
    </row>
    <row r="243" spans="1:20" ht="11.25">
      <c r="A243" s="175" t="s">
        <v>271</v>
      </c>
      <c r="B243" s="175">
        <v>5</v>
      </c>
      <c r="C243" s="176" t="s">
        <v>469</v>
      </c>
      <c r="D243" s="176" t="s">
        <v>331</v>
      </c>
      <c r="E243" s="176" t="s">
        <v>350</v>
      </c>
      <c r="F243" s="176"/>
      <c r="G243" s="176" t="s">
        <v>324</v>
      </c>
      <c r="H243" s="178" t="s">
        <v>325</v>
      </c>
      <c r="I243" s="175" t="s">
        <v>231</v>
      </c>
      <c r="J243" s="179" t="s">
        <v>352</v>
      </c>
      <c r="K243" s="179"/>
      <c r="L243" s="176" t="s">
        <v>353</v>
      </c>
      <c r="M243" s="180">
        <f t="shared" si="16"/>
        <v>1103812.8906249998</v>
      </c>
      <c r="N243" s="181">
        <f t="shared" si="15"/>
        <v>1103812.8906249998</v>
      </c>
      <c r="O243" s="181">
        <v>0</v>
      </c>
      <c r="P243" s="181">
        <v>0</v>
      </c>
      <c r="Q243" s="181">
        <v>0</v>
      </c>
      <c r="R243" s="181">
        <v>0</v>
      </c>
      <c r="S243" s="182">
        <f t="shared" si="13"/>
        <v>0</v>
      </c>
      <c r="T243" s="183"/>
    </row>
    <row r="244" spans="1:20" ht="11.25">
      <c r="A244" s="175" t="s">
        <v>272</v>
      </c>
      <c r="B244" s="175">
        <v>6</v>
      </c>
      <c r="C244" s="176" t="s">
        <v>469</v>
      </c>
      <c r="D244" s="176" t="s">
        <v>331</v>
      </c>
      <c r="E244" s="176" t="s">
        <v>350</v>
      </c>
      <c r="F244" s="176"/>
      <c r="G244" s="176" t="s">
        <v>324</v>
      </c>
      <c r="H244" s="178" t="s">
        <v>325</v>
      </c>
      <c r="I244" s="175" t="s">
        <v>231</v>
      </c>
      <c r="J244" s="179" t="s">
        <v>352</v>
      </c>
      <c r="K244" s="179"/>
      <c r="L244" s="176" t="s">
        <v>353</v>
      </c>
      <c r="M244" s="180">
        <f t="shared" si="16"/>
        <v>1131408.2128906248</v>
      </c>
      <c r="N244" s="181">
        <f t="shared" si="15"/>
        <v>1131408.2128906248</v>
      </c>
      <c r="O244" s="181">
        <v>0</v>
      </c>
      <c r="P244" s="181">
        <v>0</v>
      </c>
      <c r="Q244" s="181">
        <v>0</v>
      </c>
      <c r="R244" s="181">
        <v>0</v>
      </c>
      <c r="S244" s="182">
        <f t="shared" si="13"/>
        <v>0</v>
      </c>
      <c r="T244" s="183"/>
    </row>
    <row r="245" spans="1:20" ht="11.25">
      <c r="A245" s="175" t="s">
        <v>273</v>
      </c>
      <c r="B245" s="175">
        <v>7</v>
      </c>
      <c r="C245" s="176" t="s">
        <v>469</v>
      </c>
      <c r="D245" s="176" t="s">
        <v>331</v>
      </c>
      <c r="E245" s="176" t="s">
        <v>350</v>
      </c>
      <c r="F245" s="176"/>
      <c r="G245" s="176" t="s">
        <v>324</v>
      </c>
      <c r="H245" s="178" t="s">
        <v>325</v>
      </c>
      <c r="I245" s="175" t="s">
        <v>231</v>
      </c>
      <c r="J245" s="179" t="s">
        <v>352</v>
      </c>
      <c r="K245" s="179"/>
      <c r="L245" s="176" t="s">
        <v>353</v>
      </c>
      <c r="M245" s="180">
        <f t="shared" si="16"/>
        <v>1159693.4182128904</v>
      </c>
      <c r="N245" s="181">
        <f t="shared" si="15"/>
        <v>1159693.4182128904</v>
      </c>
      <c r="O245" s="181">
        <v>0</v>
      </c>
      <c r="P245" s="181">
        <v>0</v>
      </c>
      <c r="Q245" s="181">
        <v>0</v>
      </c>
      <c r="R245" s="181">
        <v>0</v>
      </c>
      <c r="S245" s="182">
        <f t="shared" si="13"/>
        <v>0</v>
      </c>
      <c r="T245" s="183"/>
    </row>
    <row r="246" spans="1:20" ht="11.25">
      <c r="A246" s="175" t="s">
        <v>274</v>
      </c>
      <c r="B246" s="175">
        <v>8</v>
      </c>
      <c r="C246" s="176" t="s">
        <v>469</v>
      </c>
      <c r="D246" s="176" t="s">
        <v>331</v>
      </c>
      <c r="E246" s="176" t="s">
        <v>350</v>
      </c>
      <c r="F246" s="176"/>
      <c r="G246" s="176" t="s">
        <v>324</v>
      </c>
      <c r="H246" s="178" t="s">
        <v>325</v>
      </c>
      <c r="I246" s="175" t="s">
        <v>231</v>
      </c>
      <c r="J246" s="179" t="s">
        <v>352</v>
      </c>
      <c r="K246" s="179"/>
      <c r="L246" s="176" t="s">
        <v>353</v>
      </c>
      <c r="M246" s="180">
        <f t="shared" si="16"/>
        <v>1188685.7536682126</v>
      </c>
      <c r="N246" s="181">
        <f t="shared" si="15"/>
        <v>1188685.7536682126</v>
      </c>
      <c r="O246" s="181">
        <v>0</v>
      </c>
      <c r="P246" s="181">
        <v>0</v>
      </c>
      <c r="Q246" s="181">
        <v>0</v>
      </c>
      <c r="R246" s="181">
        <v>0</v>
      </c>
      <c r="S246" s="182">
        <f t="shared" si="13"/>
        <v>0</v>
      </c>
      <c r="T246" s="183"/>
    </row>
    <row r="247" spans="1:20" ht="11.25">
      <c r="A247" s="175" t="s">
        <v>275</v>
      </c>
      <c r="B247" s="175">
        <v>9</v>
      </c>
      <c r="C247" s="176" t="s">
        <v>469</v>
      </c>
      <c r="D247" s="176" t="s">
        <v>331</v>
      </c>
      <c r="E247" s="176" t="s">
        <v>350</v>
      </c>
      <c r="F247" s="176"/>
      <c r="G247" s="176" t="s">
        <v>324</v>
      </c>
      <c r="H247" s="178" t="s">
        <v>325</v>
      </c>
      <c r="I247" s="175" t="s">
        <v>231</v>
      </c>
      <c r="J247" s="179" t="s">
        <v>352</v>
      </c>
      <c r="K247" s="179"/>
      <c r="L247" s="176" t="s">
        <v>353</v>
      </c>
      <c r="M247" s="180">
        <f t="shared" si="16"/>
        <v>1218402.8975099178</v>
      </c>
      <c r="N247" s="181">
        <f t="shared" si="15"/>
        <v>1218402.8975099178</v>
      </c>
      <c r="O247" s="181">
        <v>0</v>
      </c>
      <c r="P247" s="181">
        <v>0</v>
      </c>
      <c r="Q247" s="181">
        <v>0</v>
      </c>
      <c r="R247" s="181">
        <v>0</v>
      </c>
      <c r="S247" s="182">
        <f t="shared" si="13"/>
        <v>0</v>
      </c>
      <c r="T247" s="183"/>
    </row>
    <row r="248" spans="1:20" ht="11.25">
      <c r="A248" s="175" t="s">
        <v>276</v>
      </c>
      <c r="B248" s="175">
        <v>10</v>
      </c>
      <c r="C248" s="176" t="s">
        <v>469</v>
      </c>
      <c r="D248" s="176" t="s">
        <v>331</v>
      </c>
      <c r="E248" s="176" t="s">
        <v>350</v>
      </c>
      <c r="F248" s="176"/>
      <c r="G248" s="176" t="s">
        <v>324</v>
      </c>
      <c r="H248" s="178" t="s">
        <v>325</v>
      </c>
      <c r="I248" s="175" t="s">
        <v>231</v>
      </c>
      <c r="J248" s="179" t="s">
        <v>352</v>
      </c>
      <c r="K248" s="179"/>
      <c r="L248" s="176" t="s">
        <v>353</v>
      </c>
      <c r="M248" s="180">
        <f t="shared" si="16"/>
        <v>1248862.9699476657</v>
      </c>
      <c r="N248" s="181">
        <f t="shared" si="15"/>
        <v>1248862.9699476657</v>
      </c>
      <c r="O248" s="181">
        <v>0</v>
      </c>
      <c r="P248" s="181">
        <v>0</v>
      </c>
      <c r="Q248" s="181">
        <v>0</v>
      </c>
      <c r="R248" s="181">
        <v>0</v>
      </c>
      <c r="S248" s="182">
        <f t="shared" si="13"/>
        <v>0</v>
      </c>
      <c r="T248" s="183"/>
    </row>
    <row r="249" spans="1:20" ht="11.25">
      <c r="A249" s="175" t="s">
        <v>277</v>
      </c>
      <c r="B249" s="175">
        <v>11</v>
      </c>
      <c r="C249" s="176" t="s">
        <v>469</v>
      </c>
      <c r="D249" s="176" t="s">
        <v>331</v>
      </c>
      <c r="E249" s="176" t="s">
        <v>350</v>
      </c>
      <c r="F249" s="176"/>
      <c r="G249" s="176" t="s">
        <v>324</v>
      </c>
      <c r="H249" s="178" t="s">
        <v>325</v>
      </c>
      <c r="I249" s="175" t="s">
        <v>231</v>
      </c>
      <c r="J249" s="179" t="s">
        <v>352</v>
      </c>
      <c r="K249" s="179"/>
      <c r="L249" s="176" t="s">
        <v>353</v>
      </c>
      <c r="M249" s="180">
        <f t="shared" si="16"/>
        <v>1280084.5441963573</v>
      </c>
      <c r="N249" s="181">
        <f t="shared" si="15"/>
        <v>1280084.5441963573</v>
      </c>
      <c r="O249" s="181">
        <v>0</v>
      </c>
      <c r="P249" s="181">
        <v>0</v>
      </c>
      <c r="Q249" s="181">
        <v>0</v>
      </c>
      <c r="R249" s="181">
        <v>0</v>
      </c>
      <c r="S249" s="182">
        <f t="shared" si="13"/>
        <v>0</v>
      </c>
      <c r="T249" s="183"/>
    </row>
    <row r="250" spans="1:20" ht="11.25">
      <c r="A250" s="175" t="s">
        <v>278</v>
      </c>
      <c r="B250" s="175">
        <v>12</v>
      </c>
      <c r="C250" s="176" t="s">
        <v>469</v>
      </c>
      <c r="D250" s="176" t="s">
        <v>331</v>
      </c>
      <c r="E250" s="176" t="s">
        <v>350</v>
      </c>
      <c r="F250" s="176"/>
      <c r="G250" s="176" t="s">
        <v>324</v>
      </c>
      <c r="H250" s="178" t="s">
        <v>325</v>
      </c>
      <c r="I250" s="175" t="s">
        <v>231</v>
      </c>
      <c r="J250" s="179" t="s">
        <v>352</v>
      </c>
      <c r="K250" s="179"/>
      <c r="L250" s="176" t="s">
        <v>353</v>
      </c>
      <c r="M250" s="180">
        <f t="shared" si="16"/>
        <v>1312086.657801266</v>
      </c>
      <c r="N250" s="181">
        <f t="shared" si="15"/>
        <v>1312086.657801266</v>
      </c>
      <c r="O250" s="181">
        <v>0</v>
      </c>
      <c r="P250" s="181">
        <v>0</v>
      </c>
      <c r="Q250" s="181">
        <v>0</v>
      </c>
      <c r="R250" s="181">
        <v>0</v>
      </c>
      <c r="S250" s="182">
        <f t="shared" si="13"/>
        <v>0</v>
      </c>
      <c r="T250" s="183"/>
    </row>
    <row r="251" spans="1:20" ht="11.25">
      <c r="A251" s="175" t="s">
        <v>279</v>
      </c>
      <c r="B251" s="175">
        <v>13</v>
      </c>
      <c r="C251" s="176" t="s">
        <v>469</v>
      </c>
      <c r="D251" s="176" t="s">
        <v>331</v>
      </c>
      <c r="E251" s="176" t="s">
        <v>350</v>
      </c>
      <c r="F251" s="176"/>
      <c r="G251" s="176" t="s">
        <v>324</v>
      </c>
      <c r="H251" s="178" t="s">
        <v>325</v>
      </c>
      <c r="I251" s="175" t="s">
        <v>231</v>
      </c>
      <c r="J251" s="179" t="s">
        <v>352</v>
      </c>
      <c r="K251" s="179"/>
      <c r="L251" s="176" t="s">
        <v>353</v>
      </c>
      <c r="M251" s="180">
        <f t="shared" si="16"/>
        <v>1344888.8242462976</v>
      </c>
      <c r="N251" s="181">
        <f t="shared" si="15"/>
        <v>1344888.8242462976</v>
      </c>
      <c r="O251" s="181">
        <v>0</v>
      </c>
      <c r="P251" s="181">
        <v>0</v>
      </c>
      <c r="Q251" s="181">
        <v>0</v>
      </c>
      <c r="R251" s="181">
        <v>0</v>
      </c>
      <c r="S251" s="182">
        <f t="shared" si="13"/>
        <v>0</v>
      </c>
      <c r="T251" s="183"/>
    </row>
    <row r="252" spans="1:20" ht="11.25">
      <c r="A252" s="175" t="s">
        <v>280</v>
      </c>
      <c r="B252" s="175">
        <v>14</v>
      </c>
      <c r="C252" s="176" t="s">
        <v>469</v>
      </c>
      <c r="D252" s="176" t="s">
        <v>331</v>
      </c>
      <c r="E252" s="176" t="s">
        <v>350</v>
      </c>
      <c r="F252" s="176"/>
      <c r="G252" s="176" t="s">
        <v>324</v>
      </c>
      <c r="H252" s="178" t="s">
        <v>325</v>
      </c>
      <c r="I252" s="175" t="s">
        <v>231</v>
      </c>
      <c r="J252" s="179" t="s">
        <v>352</v>
      </c>
      <c r="K252" s="179"/>
      <c r="L252" s="176" t="s">
        <v>353</v>
      </c>
      <c r="M252" s="180">
        <f t="shared" si="16"/>
        <v>1378511.044852455</v>
      </c>
      <c r="N252" s="181">
        <f t="shared" si="15"/>
        <v>1378511.044852455</v>
      </c>
      <c r="O252" s="181">
        <v>0</v>
      </c>
      <c r="P252" s="181">
        <v>0</v>
      </c>
      <c r="Q252" s="181">
        <v>0</v>
      </c>
      <c r="R252" s="181">
        <v>0</v>
      </c>
      <c r="S252" s="182">
        <f t="shared" si="13"/>
        <v>0</v>
      </c>
      <c r="T252" s="183"/>
    </row>
    <row r="253" spans="1:20" ht="11.25">
      <c r="A253" s="175" t="s">
        <v>281</v>
      </c>
      <c r="B253" s="175">
        <v>15</v>
      </c>
      <c r="C253" s="176" t="s">
        <v>469</v>
      </c>
      <c r="D253" s="176" t="s">
        <v>331</v>
      </c>
      <c r="E253" s="176" t="s">
        <v>350</v>
      </c>
      <c r="F253" s="176"/>
      <c r="G253" s="176" t="s">
        <v>324</v>
      </c>
      <c r="H253" s="178" t="s">
        <v>325</v>
      </c>
      <c r="I253" s="175" t="s">
        <v>231</v>
      </c>
      <c r="J253" s="179" t="s">
        <v>352</v>
      </c>
      <c r="K253" s="179"/>
      <c r="L253" s="176" t="s">
        <v>353</v>
      </c>
      <c r="M253" s="180">
        <f t="shared" si="16"/>
        <v>1412973.8209737663</v>
      </c>
      <c r="N253" s="181">
        <f t="shared" si="15"/>
        <v>1412973.8209737663</v>
      </c>
      <c r="O253" s="181">
        <v>0</v>
      </c>
      <c r="P253" s="181">
        <v>0</v>
      </c>
      <c r="Q253" s="181">
        <v>0</v>
      </c>
      <c r="R253" s="181">
        <v>0</v>
      </c>
      <c r="S253" s="182">
        <f t="shared" si="13"/>
        <v>0</v>
      </c>
      <c r="T253" s="183"/>
    </row>
    <row r="254" spans="1:20" ht="11.25">
      <c r="A254" s="175" t="s">
        <v>282</v>
      </c>
      <c r="B254" s="175">
        <v>16</v>
      </c>
      <c r="C254" s="176" t="s">
        <v>469</v>
      </c>
      <c r="D254" s="176" t="s">
        <v>331</v>
      </c>
      <c r="E254" s="176" t="s">
        <v>350</v>
      </c>
      <c r="F254" s="176"/>
      <c r="G254" s="176" t="s">
        <v>324</v>
      </c>
      <c r="H254" s="178" t="s">
        <v>325</v>
      </c>
      <c r="I254" s="175" t="s">
        <v>231</v>
      </c>
      <c r="J254" s="179" t="s">
        <v>352</v>
      </c>
      <c r="K254" s="179"/>
      <c r="L254" s="176" t="s">
        <v>353</v>
      </c>
      <c r="M254" s="180">
        <f t="shared" si="16"/>
        <v>1448298.1664981104</v>
      </c>
      <c r="N254" s="181">
        <f t="shared" si="15"/>
        <v>1448298.1664981104</v>
      </c>
      <c r="O254" s="181">
        <v>0</v>
      </c>
      <c r="P254" s="181">
        <v>0</v>
      </c>
      <c r="Q254" s="181">
        <v>0</v>
      </c>
      <c r="R254" s="181">
        <v>0</v>
      </c>
      <c r="S254" s="182">
        <f t="shared" si="13"/>
        <v>0</v>
      </c>
      <c r="T254" s="183"/>
    </row>
    <row r="255" spans="1:20" ht="11.25">
      <c r="A255" s="175" t="s">
        <v>283</v>
      </c>
      <c r="B255" s="175">
        <v>17</v>
      </c>
      <c r="C255" s="176" t="s">
        <v>469</v>
      </c>
      <c r="D255" s="176" t="s">
        <v>331</v>
      </c>
      <c r="E255" s="176" t="s">
        <v>350</v>
      </c>
      <c r="F255" s="176"/>
      <c r="G255" s="176" t="s">
        <v>324</v>
      </c>
      <c r="H255" s="178" t="s">
        <v>325</v>
      </c>
      <c r="I255" s="175" t="s">
        <v>231</v>
      </c>
      <c r="J255" s="179" t="s">
        <v>352</v>
      </c>
      <c r="K255" s="179"/>
      <c r="L255" s="176" t="s">
        <v>353</v>
      </c>
      <c r="M255" s="180">
        <f t="shared" si="16"/>
        <v>1484505.620660563</v>
      </c>
      <c r="N255" s="181">
        <f t="shared" si="15"/>
        <v>1484505.620660563</v>
      </c>
      <c r="O255" s="181">
        <v>0</v>
      </c>
      <c r="P255" s="181">
        <v>0</v>
      </c>
      <c r="Q255" s="181">
        <v>0</v>
      </c>
      <c r="R255" s="181">
        <v>0</v>
      </c>
      <c r="S255" s="182">
        <f t="shared" si="13"/>
        <v>0</v>
      </c>
      <c r="T255" s="183"/>
    </row>
    <row r="256" spans="1:20" ht="11.25">
      <c r="A256" s="175" t="s">
        <v>284</v>
      </c>
      <c r="B256" s="175">
        <v>18</v>
      </c>
      <c r="C256" s="176" t="s">
        <v>469</v>
      </c>
      <c r="D256" s="176" t="s">
        <v>331</v>
      </c>
      <c r="E256" s="176" t="s">
        <v>350</v>
      </c>
      <c r="F256" s="176"/>
      <c r="G256" s="176" t="s">
        <v>324</v>
      </c>
      <c r="H256" s="178" t="s">
        <v>325</v>
      </c>
      <c r="I256" s="175" t="s">
        <v>231</v>
      </c>
      <c r="J256" s="179" t="s">
        <v>352</v>
      </c>
      <c r="K256" s="179"/>
      <c r="L256" s="176" t="s">
        <v>353</v>
      </c>
      <c r="M256" s="180">
        <f t="shared" si="16"/>
        <v>1521618.261177077</v>
      </c>
      <c r="N256" s="181">
        <f t="shared" si="15"/>
        <v>1521618.261177077</v>
      </c>
      <c r="O256" s="181">
        <v>0</v>
      </c>
      <c r="P256" s="181">
        <v>0</v>
      </c>
      <c r="Q256" s="181">
        <v>0</v>
      </c>
      <c r="R256" s="181">
        <v>0</v>
      </c>
      <c r="S256" s="182">
        <f t="shared" si="13"/>
        <v>0</v>
      </c>
      <c r="T256" s="183"/>
    </row>
    <row r="257" spans="1:20" ht="11.25">
      <c r="A257" s="175" t="s">
        <v>285</v>
      </c>
      <c r="B257" s="175">
        <v>19</v>
      </c>
      <c r="C257" s="176" t="s">
        <v>469</v>
      </c>
      <c r="D257" s="176" t="s">
        <v>331</v>
      </c>
      <c r="E257" s="176" t="s">
        <v>350</v>
      </c>
      <c r="F257" s="176"/>
      <c r="G257" s="176" t="s">
        <v>324</v>
      </c>
      <c r="H257" s="178" t="s">
        <v>325</v>
      </c>
      <c r="I257" s="175" t="s">
        <v>231</v>
      </c>
      <c r="J257" s="179" t="s">
        <v>352</v>
      </c>
      <c r="K257" s="179"/>
      <c r="L257" s="176" t="s">
        <v>353</v>
      </c>
      <c r="M257" s="180">
        <f t="shared" si="16"/>
        <v>1559658.7177065038</v>
      </c>
      <c r="N257" s="181">
        <f t="shared" si="15"/>
        <v>1559658.7177065038</v>
      </c>
      <c r="O257" s="181">
        <v>0</v>
      </c>
      <c r="P257" s="181">
        <v>0</v>
      </c>
      <c r="Q257" s="181">
        <v>0</v>
      </c>
      <c r="R257" s="181">
        <v>0</v>
      </c>
      <c r="S257" s="182">
        <f t="shared" si="13"/>
        <v>0</v>
      </c>
      <c r="T257" s="183"/>
    </row>
    <row r="258" spans="1:20" ht="11.25">
      <c r="A258" s="175" t="s">
        <v>303</v>
      </c>
      <c r="B258" s="175">
        <v>20</v>
      </c>
      <c r="C258" s="176" t="s">
        <v>469</v>
      </c>
      <c r="D258" s="176" t="s">
        <v>331</v>
      </c>
      <c r="E258" s="176" t="s">
        <v>350</v>
      </c>
      <c r="F258" s="176"/>
      <c r="G258" s="176" t="s">
        <v>324</v>
      </c>
      <c r="H258" s="178" t="s">
        <v>325</v>
      </c>
      <c r="I258" s="175" t="s">
        <v>231</v>
      </c>
      <c r="J258" s="179" t="s">
        <v>352</v>
      </c>
      <c r="K258" s="179"/>
      <c r="L258" s="176" t="s">
        <v>353</v>
      </c>
      <c r="M258" s="180">
        <f t="shared" si="16"/>
        <v>1598650.1856491663</v>
      </c>
      <c r="N258" s="181">
        <f t="shared" si="15"/>
        <v>1598650.1856491663</v>
      </c>
      <c r="O258" s="181">
        <v>0</v>
      </c>
      <c r="P258" s="181">
        <v>0</v>
      </c>
      <c r="Q258" s="181">
        <v>0</v>
      </c>
      <c r="R258" s="181">
        <v>0</v>
      </c>
      <c r="S258" s="182">
        <f t="shared" si="13"/>
        <v>0</v>
      </c>
      <c r="T258" s="183"/>
    </row>
    <row r="259" spans="1:20" ht="11.25">
      <c r="A259" s="175" t="s">
        <v>265</v>
      </c>
      <c r="B259" s="175">
        <v>0</v>
      </c>
      <c r="C259" s="176" t="s">
        <v>469</v>
      </c>
      <c r="D259" s="176" t="s">
        <v>331</v>
      </c>
      <c r="E259" s="176" t="s">
        <v>332</v>
      </c>
      <c r="F259" s="176"/>
      <c r="G259" s="176" t="s">
        <v>324</v>
      </c>
      <c r="H259" s="178" t="s">
        <v>325</v>
      </c>
      <c r="I259" s="175" t="s">
        <v>231</v>
      </c>
      <c r="J259" s="179" t="s">
        <v>326</v>
      </c>
      <c r="K259" s="179"/>
      <c r="L259" s="176" t="s">
        <v>354</v>
      </c>
      <c r="M259" s="180">
        <v>540000</v>
      </c>
      <c r="N259" s="181">
        <v>0</v>
      </c>
      <c r="O259" s="181">
        <v>0</v>
      </c>
      <c r="P259" s="181">
        <v>0</v>
      </c>
      <c r="Q259" s="181">
        <v>0</v>
      </c>
      <c r="R259" s="181">
        <v>0</v>
      </c>
      <c r="S259" s="182">
        <f t="shared" si="13"/>
        <v>540000</v>
      </c>
      <c r="T259" s="183"/>
    </row>
    <row r="260" spans="1:20" ht="11.25">
      <c r="A260" s="175" t="s">
        <v>267</v>
      </c>
      <c r="B260" s="175">
        <v>1</v>
      </c>
      <c r="C260" s="176" t="s">
        <v>469</v>
      </c>
      <c r="D260" s="176" t="s">
        <v>331</v>
      </c>
      <c r="E260" s="176" t="s">
        <v>332</v>
      </c>
      <c r="F260" s="176"/>
      <c r="G260" s="176" t="s">
        <v>324</v>
      </c>
      <c r="H260" s="178" t="s">
        <v>325</v>
      </c>
      <c r="I260" s="175" t="s">
        <v>231</v>
      </c>
      <c r="J260" s="179" t="s">
        <v>231</v>
      </c>
      <c r="K260" s="179"/>
      <c r="L260" s="176" t="s">
        <v>354</v>
      </c>
      <c r="M260" s="180">
        <f>IF(J260="Y",M259*(1+$F$4),IF(J260="I",M259*(1+$E$4),M259))</f>
        <v>561600</v>
      </c>
      <c r="N260" s="181">
        <v>0</v>
      </c>
      <c r="O260" s="181">
        <v>0</v>
      </c>
      <c r="P260" s="181">
        <v>0</v>
      </c>
      <c r="Q260" s="181">
        <v>0</v>
      </c>
      <c r="R260" s="181">
        <v>0</v>
      </c>
      <c r="S260" s="182">
        <f t="shared" si="13"/>
        <v>561600</v>
      </c>
      <c r="T260" s="183"/>
    </row>
    <row r="261" spans="1:20" ht="11.25">
      <c r="A261" s="175" t="s">
        <v>268</v>
      </c>
      <c r="B261" s="175">
        <v>2</v>
      </c>
      <c r="C261" s="176" t="s">
        <v>469</v>
      </c>
      <c r="D261" s="176" t="s">
        <v>331</v>
      </c>
      <c r="E261" s="176" t="s">
        <v>332</v>
      </c>
      <c r="F261" s="176"/>
      <c r="G261" s="176" t="s">
        <v>324</v>
      </c>
      <c r="H261" s="178" t="s">
        <v>325</v>
      </c>
      <c r="I261" s="175" t="s">
        <v>231</v>
      </c>
      <c r="J261" s="179" t="s">
        <v>231</v>
      </c>
      <c r="K261" s="179"/>
      <c r="L261" s="176" t="s">
        <v>354</v>
      </c>
      <c r="M261" s="180">
        <f aca="true" t="shared" si="17" ref="M261:M279">IF(J261="Y",M260*(1+$C$4),IF(J261="I",M260*(1+$E$4),M260))</f>
        <v>584064</v>
      </c>
      <c r="N261" s="181">
        <v>0</v>
      </c>
      <c r="O261" s="181">
        <v>0</v>
      </c>
      <c r="P261" s="181">
        <v>0</v>
      </c>
      <c r="Q261" s="181">
        <v>0</v>
      </c>
      <c r="R261" s="181">
        <v>0</v>
      </c>
      <c r="S261" s="182">
        <f t="shared" si="13"/>
        <v>584064</v>
      </c>
      <c r="T261" s="183"/>
    </row>
    <row r="262" spans="1:20" ht="11.25">
      <c r="A262" s="175" t="s">
        <v>269</v>
      </c>
      <c r="B262" s="175">
        <v>3</v>
      </c>
      <c r="C262" s="176" t="s">
        <v>469</v>
      </c>
      <c r="D262" s="176" t="s">
        <v>331</v>
      </c>
      <c r="E262" s="176" t="s">
        <v>332</v>
      </c>
      <c r="F262" s="176"/>
      <c r="G262" s="176" t="s">
        <v>324</v>
      </c>
      <c r="H262" s="178" t="s">
        <v>325</v>
      </c>
      <c r="I262" s="175" t="s">
        <v>231</v>
      </c>
      <c r="J262" s="179" t="s">
        <v>231</v>
      </c>
      <c r="K262" s="179"/>
      <c r="L262" s="176" t="s">
        <v>354</v>
      </c>
      <c r="M262" s="180">
        <f t="shared" si="17"/>
        <v>607426.56</v>
      </c>
      <c r="N262" s="181">
        <v>0</v>
      </c>
      <c r="O262" s="181">
        <v>0</v>
      </c>
      <c r="P262" s="181">
        <v>0</v>
      </c>
      <c r="Q262" s="181">
        <v>0</v>
      </c>
      <c r="R262" s="181">
        <v>0</v>
      </c>
      <c r="S262" s="182">
        <f t="shared" si="13"/>
        <v>607426.56</v>
      </c>
      <c r="T262" s="183"/>
    </row>
    <row r="263" spans="1:20" ht="11.25">
      <c r="A263" s="175" t="s">
        <v>270</v>
      </c>
      <c r="B263" s="175">
        <v>4</v>
      </c>
      <c r="C263" s="176" t="s">
        <v>469</v>
      </c>
      <c r="D263" s="176" t="s">
        <v>331</v>
      </c>
      <c r="E263" s="176" t="s">
        <v>332</v>
      </c>
      <c r="F263" s="176"/>
      <c r="G263" s="176" t="s">
        <v>324</v>
      </c>
      <c r="H263" s="178" t="s">
        <v>325</v>
      </c>
      <c r="I263" s="175" t="s">
        <v>231</v>
      </c>
      <c r="J263" s="179" t="s">
        <v>231</v>
      </c>
      <c r="K263" s="179"/>
      <c r="L263" s="176" t="s">
        <v>354</v>
      </c>
      <c r="M263" s="180">
        <f t="shared" si="17"/>
        <v>631723.6224000001</v>
      </c>
      <c r="N263" s="181">
        <v>0</v>
      </c>
      <c r="O263" s="181">
        <v>0</v>
      </c>
      <c r="P263" s="181">
        <v>0</v>
      </c>
      <c r="Q263" s="181">
        <v>0</v>
      </c>
      <c r="R263" s="181">
        <v>0</v>
      </c>
      <c r="S263" s="182">
        <f aca="true" t="shared" si="18" ref="S263:S326">M263-SUM(N263:R263)</f>
        <v>631723.6224000001</v>
      </c>
      <c r="T263" s="183"/>
    </row>
    <row r="264" spans="1:20" ht="11.25">
      <c r="A264" s="175" t="s">
        <v>271</v>
      </c>
      <c r="B264" s="175">
        <v>5</v>
      </c>
      <c r="C264" s="176" t="s">
        <v>469</v>
      </c>
      <c r="D264" s="176" t="s">
        <v>331</v>
      </c>
      <c r="E264" s="176" t="s">
        <v>332</v>
      </c>
      <c r="F264" s="176"/>
      <c r="G264" s="176" t="s">
        <v>324</v>
      </c>
      <c r="H264" s="178" t="s">
        <v>325</v>
      </c>
      <c r="I264" s="175" t="s">
        <v>231</v>
      </c>
      <c r="J264" s="179" t="s">
        <v>231</v>
      </c>
      <c r="K264" s="179"/>
      <c r="L264" s="176" t="s">
        <v>354</v>
      </c>
      <c r="M264" s="180">
        <f t="shared" si="17"/>
        <v>656992.5672960001</v>
      </c>
      <c r="N264" s="181">
        <v>0</v>
      </c>
      <c r="O264" s="181">
        <v>0</v>
      </c>
      <c r="P264" s="181">
        <v>0</v>
      </c>
      <c r="Q264" s="181">
        <v>0</v>
      </c>
      <c r="R264" s="181">
        <v>0</v>
      </c>
      <c r="S264" s="182">
        <f t="shared" si="18"/>
        <v>656992.5672960001</v>
      </c>
      <c r="T264" s="183"/>
    </row>
    <row r="265" spans="1:20" ht="11.25">
      <c r="A265" s="175" t="s">
        <v>272</v>
      </c>
      <c r="B265" s="175">
        <v>6</v>
      </c>
      <c r="C265" s="176" t="s">
        <v>469</v>
      </c>
      <c r="D265" s="176" t="s">
        <v>331</v>
      </c>
      <c r="E265" s="176" t="s">
        <v>332</v>
      </c>
      <c r="F265" s="176"/>
      <c r="G265" s="176" t="s">
        <v>324</v>
      </c>
      <c r="H265" s="178" t="s">
        <v>325</v>
      </c>
      <c r="I265" s="175" t="s">
        <v>231</v>
      </c>
      <c r="J265" s="179" t="s">
        <v>231</v>
      </c>
      <c r="K265" s="179"/>
      <c r="L265" s="176" t="s">
        <v>354</v>
      </c>
      <c r="M265" s="180">
        <f t="shared" si="17"/>
        <v>683272.2699878401</v>
      </c>
      <c r="N265" s="181">
        <v>0</v>
      </c>
      <c r="O265" s="181">
        <v>0</v>
      </c>
      <c r="P265" s="181">
        <v>0</v>
      </c>
      <c r="Q265" s="181">
        <v>0</v>
      </c>
      <c r="R265" s="181">
        <v>0</v>
      </c>
      <c r="S265" s="182">
        <f t="shared" si="18"/>
        <v>683272.2699878401</v>
      </c>
      <c r="T265" s="183"/>
    </row>
    <row r="266" spans="1:20" ht="11.25">
      <c r="A266" s="175" t="s">
        <v>273</v>
      </c>
      <c r="B266" s="175">
        <v>7</v>
      </c>
      <c r="C266" s="176" t="s">
        <v>469</v>
      </c>
      <c r="D266" s="176" t="s">
        <v>331</v>
      </c>
      <c r="E266" s="176" t="s">
        <v>332</v>
      </c>
      <c r="F266" s="176"/>
      <c r="G266" s="176" t="s">
        <v>324</v>
      </c>
      <c r="H266" s="178" t="s">
        <v>325</v>
      </c>
      <c r="I266" s="175" t="s">
        <v>231</v>
      </c>
      <c r="J266" s="179" t="s">
        <v>231</v>
      </c>
      <c r="K266" s="179"/>
      <c r="L266" s="176" t="s">
        <v>354</v>
      </c>
      <c r="M266" s="180">
        <f t="shared" si="17"/>
        <v>710603.1607873538</v>
      </c>
      <c r="N266" s="181">
        <v>0</v>
      </c>
      <c r="O266" s="181">
        <v>0</v>
      </c>
      <c r="P266" s="181">
        <v>0</v>
      </c>
      <c r="Q266" s="181">
        <v>0</v>
      </c>
      <c r="R266" s="181">
        <v>0</v>
      </c>
      <c r="S266" s="182">
        <f t="shared" si="18"/>
        <v>710603.1607873538</v>
      </c>
      <c r="T266" s="183"/>
    </row>
    <row r="267" spans="1:20" ht="11.25">
      <c r="A267" s="175" t="s">
        <v>274</v>
      </c>
      <c r="B267" s="175">
        <v>8</v>
      </c>
      <c r="C267" s="176" t="s">
        <v>469</v>
      </c>
      <c r="D267" s="176" t="s">
        <v>331</v>
      </c>
      <c r="E267" s="176" t="s">
        <v>332</v>
      </c>
      <c r="F267" s="176"/>
      <c r="G267" s="176" t="s">
        <v>324</v>
      </c>
      <c r="H267" s="178" t="s">
        <v>325</v>
      </c>
      <c r="I267" s="175" t="s">
        <v>231</v>
      </c>
      <c r="J267" s="179" t="s">
        <v>231</v>
      </c>
      <c r="K267" s="179"/>
      <c r="L267" s="176" t="s">
        <v>354</v>
      </c>
      <c r="M267" s="180">
        <f t="shared" si="17"/>
        <v>739027.2872188479</v>
      </c>
      <c r="N267" s="181">
        <v>0</v>
      </c>
      <c r="O267" s="181">
        <v>0</v>
      </c>
      <c r="P267" s="181">
        <v>0</v>
      </c>
      <c r="Q267" s="181">
        <v>0</v>
      </c>
      <c r="R267" s="181">
        <v>0</v>
      </c>
      <c r="S267" s="182">
        <f t="shared" si="18"/>
        <v>739027.2872188479</v>
      </c>
      <c r="T267" s="183"/>
    </row>
    <row r="268" spans="1:20" ht="11.25">
      <c r="A268" s="175" t="s">
        <v>275</v>
      </c>
      <c r="B268" s="175">
        <v>9</v>
      </c>
      <c r="C268" s="176" t="s">
        <v>469</v>
      </c>
      <c r="D268" s="176" t="s">
        <v>331</v>
      </c>
      <c r="E268" s="176" t="s">
        <v>332</v>
      </c>
      <c r="F268" s="176"/>
      <c r="G268" s="176" t="s">
        <v>324</v>
      </c>
      <c r="H268" s="178" t="s">
        <v>325</v>
      </c>
      <c r="I268" s="175" t="s">
        <v>231</v>
      </c>
      <c r="J268" s="179" t="s">
        <v>231</v>
      </c>
      <c r="K268" s="179"/>
      <c r="L268" s="176" t="s">
        <v>354</v>
      </c>
      <c r="M268" s="180">
        <f t="shared" si="17"/>
        <v>768588.3787076018</v>
      </c>
      <c r="N268" s="181">
        <v>0</v>
      </c>
      <c r="O268" s="181">
        <v>0</v>
      </c>
      <c r="P268" s="181">
        <v>0</v>
      </c>
      <c r="Q268" s="181">
        <v>0</v>
      </c>
      <c r="R268" s="181">
        <v>0</v>
      </c>
      <c r="S268" s="182">
        <f t="shared" si="18"/>
        <v>768588.3787076018</v>
      </c>
      <c r="T268" s="183"/>
    </row>
    <row r="269" spans="1:20" ht="11.25">
      <c r="A269" s="175" t="s">
        <v>276</v>
      </c>
      <c r="B269" s="175">
        <v>10</v>
      </c>
      <c r="C269" s="176" t="s">
        <v>469</v>
      </c>
      <c r="D269" s="176" t="s">
        <v>331</v>
      </c>
      <c r="E269" s="176" t="s">
        <v>332</v>
      </c>
      <c r="F269" s="176"/>
      <c r="G269" s="176" t="s">
        <v>324</v>
      </c>
      <c r="H269" s="178" t="s">
        <v>325</v>
      </c>
      <c r="I269" s="175" t="s">
        <v>231</v>
      </c>
      <c r="J269" s="179" t="s">
        <v>231</v>
      </c>
      <c r="K269" s="179"/>
      <c r="L269" s="176" t="s">
        <v>354</v>
      </c>
      <c r="M269" s="180">
        <f t="shared" si="17"/>
        <v>799331.9138559059</v>
      </c>
      <c r="N269" s="181">
        <v>0</v>
      </c>
      <c r="O269" s="181">
        <v>0</v>
      </c>
      <c r="P269" s="181">
        <v>0</v>
      </c>
      <c r="Q269" s="181">
        <v>0</v>
      </c>
      <c r="R269" s="181">
        <v>0</v>
      </c>
      <c r="S269" s="182">
        <f t="shared" si="18"/>
        <v>799331.9138559059</v>
      </c>
      <c r="T269" s="183"/>
    </row>
    <row r="270" spans="1:20" ht="11.25">
      <c r="A270" s="175" t="s">
        <v>277</v>
      </c>
      <c r="B270" s="175">
        <v>11</v>
      </c>
      <c r="C270" s="176" t="s">
        <v>469</v>
      </c>
      <c r="D270" s="176" t="s">
        <v>331</v>
      </c>
      <c r="E270" s="176" t="s">
        <v>332</v>
      </c>
      <c r="F270" s="176"/>
      <c r="G270" s="176" t="s">
        <v>324</v>
      </c>
      <c r="H270" s="178" t="s">
        <v>325</v>
      </c>
      <c r="I270" s="175" t="s">
        <v>231</v>
      </c>
      <c r="J270" s="179" t="s">
        <v>231</v>
      </c>
      <c r="K270" s="179"/>
      <c r="L270" s="176" t="s">
        <v>354</v>
      </c>
      <c r="M270" s="180">
        <f t="shared" si="17"/>
        <v>831305.1904101422</v>
      </c>
      <c r="N270" s="181">
        <v>0</v>
      </c>
      <c r="O270" s="181">
        <v>0</v>
      </c>
      <c r="P270" s="181">
        <v>0</v>
      </c>
      <c r="Q270" s="181">
        <v>0</v>
      </c>
      <c r="R270" s="181">
        <v>0</v>
      </c>
      <c r="S270" s="182">
        <f t="shared" si="18"/>
        <v>831305.1904101422</v>
      </c>
      <c r="T270" s="183"/>
    </row>
    <row r="271" spans="1:20" ht="11.25">
      <c r="A271" s="175" t="s">
        <v>278</v>
      </c>
      <c r="B271" s="175">
        <v>12</v>
      </c>
      <c r="C271" s="176" t="s">
        <v>469</v>
      </c>
      <c r="D271" s="176" t="s">
        <v>331</v>
      </c>
      <c r="E271" s="176" t="s">
        <v>332</v>
      </c>
      <c r="F271" s="176"/>
      <c r="G271" s="176" t="s">
        <v>324</v>
      </c>
      <c r="H271" s="178" t="s">
        <v>325</v>
      </c>
      <c r="I271" s="175" t="s">
        <v>231</v>
      </c>
      <c r="J271" s="179" t="s">
        <v>231</v>
      </c>
      <c r="K271" s="179"/>
      <c r="L271" s="176" t="s">
        <v>354</v>
      </c>
      <c r="M271" s="180">
        <f t="shared" si="17"/>
        <v>864557.3980265479</v>
      </c>
      <c r="N271" s="181">
        <v>0</v>
      </c>
      <c r="O271" s="181">
        <v>0</v>
      </c>
      <c r="P271" s="181">
        <v>0</v>
      </c>
      <c r="Q271" s="181">
        <v>0</v>
      </c>
      <c r="R271" s="181">
        <v>0</v>
      </c>
      <c r="S271" s="182">
        <f t="shared" si="18"/>
        <v>864557.3980265479</v>
      </c>
      <c r="T271" s="183"/>
    </row>
    <row r="272" spans="1:20" ht="11.25">
      <c r="A272" s="175" t="s">
        <v>279</v>
      </c>
      <c r="B272" s="175">
        <v>13</v>
      </c>
      <c r="C272" s="176" t="s">
        <v>469</v>
      </c>
      <c r="D272" s="176" t="s">
        <v>331</v>
      </c>
      <c r="E272" s="176" t="s">
        <v>332</v>
      </c>
      <c r="F272" s="176"/>
      <c r="G272" s="176" t="s">
        <v>324</v>
      </c>
      <c r="H272" s="178" t="s">
        <v>325</v>
      </c>
      <c r="I272" s="175" t="s">
        <v>231</v>
      </c>
      <c r="J272" s="179" t="s">
        <v>231</v>
      </c>
      <c r="K272" s="179"/>
      <c r="L272" s="176" t="s">
        <v>354</v>
      </c>
      <c r="M272" s="180">
        <f t="shared" si="17"/>
        <v>899139.6939476099</v>
      </c>
      <c r="N272" s="181">
        <v>0</v>
      </c>
      <c r="O272" s="181">
        <v>0</v>
      </c>
      <c r="P272" s="181">
        <v>0</v>
      </c>
      <c r="Q272" s="181">
        <v>0</v>
      </c>
      <c r="R272" s="181">
        <v>0</v>
      </c>
      <c r="S272" s="182">
        <f t="shared" si="18"/>
        <v>899139.6939476099</v>
      </c>
      <c r="T272" s="183"/>
    </row>
    <row r="273" spans="1:20" ht="11.25">
      <c r="A273" s="175" t="s">
        <v>280</v>
      </c>
      <c r="B273" s="175">
        <v>14</v>
      </c>
      <c r="C273" s="176" t="s">
        <v>469</v>
      </c>
      <c r="D273" s="176" t="s">
        <v>331</v>
      </c>
      <c r="E273" s="176" t="s">
        <v>332</v>
      </c>
      <c r="F273" s="176"/>
      <c r="G273" s="176" t="s">
        <v>324</v>
      </c>
      <c r="H273" s="178" t="s">
        <v>325</v>
      </c>
      <c r="I273" s="175" t="s">
        <v>231</v>
      </c>
      <c r="J273" s="179" t="s">
        <v>231</v>
      </c>
      <c r="K273" s="179"/>
      <c r="L273" s="176" t="s">
        <v>354</v>
      </c>
      <c r="M273" s="180">
        <f t="shared" si="17"/>
        <v>935105.2817055143</v>
      </c>
      <c r="N273" s="181">
        <v>0</v>
      </c>
      <c r="O273" s="181">
        <v>0</v>
      </c>
      <c r="P273" s="181">
        <v>0</v>
      </c>
      <c r="Q273" s="181">
        <v>0</v>
      </c>
      <c r="R273" s="181">
        <v>0</v>
      </c>
      <c r="S273" s="182">
        <f t="shared" si="18"/>
        <v>935105.2817055143</v>
      </c>
      <c r="T273" s="183"/>
    </row>
    <row r="274" spans="1:20" ht="11.25">
      <c r="A274" s="175" t="s">
        <v>281</v>
      </c>
      <c r="B274" s="175">
        <v>15</v>
      </c>
      <c r="C274" s="176" t="s">
        <v>469</v>
      </c>
      <c r="D274" s="176" t="s">
        <v>331</v>
      </c>
      <c r="E274" s="176" t="s">
        <v>332</v>
      </c>
      <c r="F274" s="176"/>
      <c r="G274" s="176" t="s">
        <v>324</v>
      </c>
      <c r="H274" s="178" t="s">
        <v>325</v>
      </c>
      <c r="I274" s="175" t="s">
        <v>231</v>
      </c>
      <c r="J274" s="179" t="s">
        <v>231</v>
      </c>
      <c r="K274" s="179"/>
      <c r="L274" s="176" t="s">
        <v>354</v>
      </c>
      <c r="M274" s="180">
        <f t="shared" si="17"/>
        <v>972509.4929737349</v>
      </c>
      <c r="N274" s="181">
        <v>0</v>
      </c>
      <c r="O274" s="181">
        <v>0</v>
      </c>
      <c r="P274" s="181">
        <v>0</v>
      </c>
      <c r="Q274" s="181">
        <v>0</v>
      </c>
      <c r="R274" s="181">
        <v>0</v>
      </c>
      <c r="S274" s="182">
        <f t="shared" si="18"/>
        <v>972509.4929737349</v>
      </c>
      <c r="T274" s="183"/>
    </row>
    <row r="275" spans="1:20" ht="11.25">
      <c r="A275" s="175" t="s">
        <v>282</v>
      </c>
      <c r="B275" s="175">
        <v>16</v>
      </c>
      <c r="C275" s="176" t="s">
        <v>469</v>
      </c>
      <c r="D275" s="176" t="s">
        <v>331</v>
      </c>
      <c r="E275" s="176" t="s">
        <v>332</v>
      </c>
      <c r="F275" s="176"/>
      <c r="G275" s="176" t="s">
        <v>324</v>
      </c>
      <c r="H275" s="178" t="s">
        <v>325</v>
      </c>
      <c r="I275" s="175" t="s">
        <v>231</v>
      </c>
      <c r="J275" s="179" t="s">
        <v>231</v>
      </c>
      <c r="K275" s="179"/>
      <c r="L275" s="176" t="s">
        <v>354</v>
      </c>
      <c r="M275" s="180">
        <f t="shared" si="17"/>
        <v>1011409.8726926843</v>
      </c>
      <c r="N275" s="181">
        <v>0</v>
      </c>
      <c r="O275" s="181">
        <v>0</v>
      </c>
      <c r="P275" s="181">
        <v>0</v>
      </c>
      <c r="Q275" s="181">
        <v>0</v>
      </c>
      <c r="R275" s="181">
        <v>0</v>
      </c>
      <c r="S275" s="182">
        <f t="shared" si="18"/>
        <v>1011409.8726926843</v>
      </c>
      <c r="T275" s="183"/>
    </row>
    <row r="276" spans="1:20" ht="11.25">
      <c r="A276" s="175" t="s">
        <v>283</v>
      </c>
      <c r="B276" s="175">
        <v>17</v>
      </c>
      <c r="C276" s="176" t="s">
        <v>469</v>
      </c>
      <c r="D276" s="176" t="s">
        <v>331</v>
      </c>
      <c r="E276" s="176" t="s">
        <v>332</v>
      </c>
      <c r="F276" s="176"/>
      <c r="G276" s="176" t="s">
        <v>324</v>
      </c>
      <c r="H276" s="178" t="s">
        <v>325</v>
      </c>
      <c r="I276" s="175" t="s">
        <v>231</v>
      </c>
      <c r="J276" s="179" t="s">
        <v>231</v>
      </c>
      <c r="K276" s="179"/>
      <c r="L276" s="176" t="s">
        <v>354</v>
      </c>
      <c r="M276" s="180">
        <f t="shared" si="17"/>
        <v>1051866.2676003918</v>
      </c>
      <c r="N276" s="181">
        <v>0</v>
      </c>
      <c r="O276" s="181">
        <v>0</v>
      </c>
      <c r="P276" s="181">
        <v>0</v>
      </c>
      <c r="Q276" s="181">
        <v>0</v>
      </c>
      <c r="R276" s="181">
        <v>0</v>
      </c>
      <c r="S276" s="182">
        <f t="shared" si="18"/>
        <v>1051866.2676003918</v>
      </c>
      <c r="T276" s="183"/>
    </row>
    <row r="277" spans="1:20" ht="11.25">
      <c r="A277" s="175" t="s">
        <v>284</v>
      </c>
      <c r="B277" s="175">
        <v>18</v>
      </c>
      <c r="C277" s="176" t="s">
        <v>469</v>
      </c>
      <c r="D277" s="176" t="s">
        <v>331</v>
      </c>
      <c r="E277" s="176" t="s">
        <v>332</v>
      </c>
      <c r="F277" s="176"/>
      <c r="G277" s="176" t="s">
        <v>324</v>
      </c>
      <c r="H277" s="178" t="s">
        <v>325</v>
      </c>
      <c r="I277" s="175" t="s">
        <v>231</v>
      </c>
      <c r="J277" s="179" t="s">
        <v>231</v>
      </c>
      <c r="K277" s="179"/>
      <c r="L277" s="176" t="s">
        <v>354</v>
      </c>
      <c r="M277" s="180">
        <f t="shared" si="17"/>
        <v>1093940.9183044075</v>
      </c>
      <c r="N277" s="181">
        <v>0</v>
      </c>
      <c r="O277" s="181">
        <v>0</v>
      </c>
      <c r="P277" s="181">
        <v>0</v>
      </c>
      <c r="Q277" s="181">
        <v>0</v>
      </c>
      <c r="R277" s="181">
        <v>0</v>
      </c>
      <c r="S277" s="182">
        <f t="shared" si="18"/>
        <v>1093940.9183044075</v>
      </c>
      <c r="T277" s="183"/>
    </row>
    <row r="278" spans="1:20" ht="11.25">
      <c r="A278" s="175" t="s">
        <v>285</v>
      </c>
      <c r="B278" s="175">
        <v>19</v>
      </c>
      <c r="C278" s="176" t="s">
        <v>469</v>
      </c>
      <c r="D278" s="176" t="s">
        <v>331</v>
      </c>
      <c r="E278" s="176" t="s">
        <v>332</v>
      </c>
      <c r="F278" s="176"/>
      <c r="G278" s="176" t="s">
        <v>324</v>
      </c>
      <c r="H278" s="178" t="s">
        <v>325</v>
      </c>
      <c r="I278" s="175" t="s">
        <v>231</v>
      </c>
      <c r="J278" s="179" t="s">
        <v>231</v>
      </c>
      <c r="K278" s="179"/>
      <c r="L278" s="176" t="s">
        <v>354</v>
      </c>
      <c r="M278" s="180">
        <f t="shared" si="17"/>
        <v>1137698.555036584</v>
      </c>
      <c r="N278" s="181">
        <v>0</v>
      </c>
      <c r="O278" s="181">
        <v>0</v>
      </c>
      <c r="P278" s="181">
        <v>0</v>
      </c>
      <c r="Q278" s="181">
        <v>0</v>
      </c>
      <c r="R278" s="181">
        <v>0</v>
      </c>
      <c r="S278" s="182">
        <f t="shared" si="18"/>
        <v>1137698.555036584</v>
      </c>
      <c r="T278" s="183"/>
    </row>
    <row r="279" spans="1:20" ht="11.25">
      <c r="A279" s="175" t="s">
        <v>303</v>
      </c>
      <c r="B279" s="175">
        <v>20</v>
      </c>
      <c r="C279" s="176" t="s">
        <v>469</v>
      </c>
      <c r="D279" s="176" t="s">
        <v>331</v>
      </c>
      <c r="E279" s="176" t="s">
        <v>332</v>
      </c>
      <c r="F279" s="176"/>
      <c r="G279" s="176" t="s">
        <v>324</v>
      </c>
      <c r="H279" s="178" t="s">
        <v>325</v>
      </c>
      <c r="I279" s="175" t="s">
        <v>231</v>
      </c>
      <c r="J279" s="179" t="s">
        <v>231</v>
      </c>
      <c r="K279" s="179"/>
      <c r="L279" s="176" t="s">
        <v>354</v>
      </c>
      <c r="M279" s="180">
        <f t="shared" si="17"/>
        <v>1183206.4972380474</v>
      </c>
      <c r="N279" s="181">
        <v>0</v>
      </c>
      <c r="O279" s="181">
        <v>0</v>
      </c>
      <c r="P279" s="181">
        <v>0</v>
      </c>
      <c r="Q279" s="181">
        <v>0</v>
      </c>
      <c r="R279" s="181">
        <v>0</v>
      </c>
      <c r="S279" s="182">
        <f t="shared" si="18"/>
        <v>1183206.4972380474</v>
      </c>
      <c r="T279" s="183"/>
    </row>
    <row r="280" spans="1:20" ht="11.25">
      <c r="A280" s="175" t="s">
        <v>265</v>
      </c>
      <c r="B280" s="175">
        <v>0</v>
      </c>
      <c r="C280" s="176" t="s">
        <v>358</v>
      </c>
      <c r="D280" s="176" t="s">
        <v>356</v>
      </c>
      <c r="E280" s="176" t="s">
        <v>343</v>
      </c>
      <c r="F280" s="176"/>
      <c r="G280" s="176" t="s">
        <v>324</v>
      </c>
      <c r="H280" s="178" t="s">
        <v>325</v>
      </c>
      <c r="I280" s="175" t="s">
        <v>231</v>
      </c>
      <c r="J280" s="179" t="s">
        <v>326</v>
      </c>
      <c r="K280" s="179"/>
      <c r="L280" s="176" t="s">
        <v>357</v>
      </c>
      <c r="M280" s="180">
        <v>50000</v>
      </c>
      <c r="N280" s="181">
        <v>0</v>
      </c>
      <c r="O280" s="181">
        <v>0</v>
      </c>
      <c r="P280" s="181">
        <v>0</v>
      </c>
      <c r="Q280" s="181">
        <v>0</v>
      </c>
      <c r="R280" s="181">
        <v>0</v>
      </c>
      <c r="S280" s="182">
        <f t="shared" si="18"/>
        <v>50000</v>
      </c>
      <c r="T280" s="183"/>
    </row>
    <row r="281" spans="1:20" ht="11.25">
      <c r="A281" s="175" t="s">
        <v>267</v>
      </c>
      <c r="B281" s="175">
        <v>1</v>
      </c>
      <c r="C281" s="176" t="s">
        <v>358</v>
      </c>
      <c r="D281" s="176" t="s">
        <v>356</v>
      </c>
      <c r="E281" s="176" t="s">
        <v>343</v>
      </c>
      <c r="F281" s="176"/>
      <c r="G281" s="176" t="s">
        <v>324</v>
      </c>
      <c r="H281" s="178" t="s">
        <v>325</v>
      </c>
      <c r="I281" s="175" t="s">
        <v>231</v>
      </c>
      <c r="J281" s="179" t="s">
        <v>352</v>
      </c>
      <c r="K281" s="179"/>
      <c r="L281" s="176" t="s">
        <v>357</v>
      </c>
      <c r="M281" s="180">
        <f>IF(J281="Y",M280*(1+$F$4),IF(J281="I",M280*(1+$E$4),M280))</f>
        <v>51249.99999999999</v>
      </c>
      <c r="N281" s="181">
        <v>0</v>
      </c>
      <c r="O281" s="181">
        <v>0</v>
      </c>
      <c r="P281" s="181">
        <v>0</v>
      </c>
      <c r="Q281" s="181">
        <v>0</v>
      </c>
      <c r="R281" s="181">
        <v>0</v>
      </c>
      <c r="S281" s="182">
        <f t="shared" si="18"/>
        <v>51249.99999999999</v>
      </c>
      <c r="T281" s="183"/>
    </row>
    <row r="282" spans="1:20" ht="11.25">
      <c r="A282" s="175" t="s">
        <v>268</v>
      </c>
      <c r="B282" s="175">
        <v>2</v>
      </c>
      <c r="C282" s="176" t="s">
        <v>358</v>
      </c>
      <c r="D282" s="176" t="s">
        <v>356</v>
      </c>
      <c r="E282" s="176" t="s">
        <v>343</v>
      </c>
      <c r="F282" s="176"/>
      <c r="G282" s="176" t="s">
        <v>324</v>
      </c>
      <c r="H282" s="178" t="s">
        <v>325</v>
      </c>
      <c r="I282" s="175" t="s">
        <v>231</v>
      </c>
      <c r="J282" s="179" t="s">
        <v>352</v>
      </c>
      <c r="K282" s="179"/>
      <c r="L282" s="176" t="s">
        <v>357</v>
      </c>
      <c r="M282" s="180">
        <f aca="true" t="shared" si="19" ref="M282:M321">IF(J282="Y",M281*(1+$C$4),IF(J282="I",M281*(1+$E$4),M281))</f>
        <v>52531.249999999985</v>
      </c>
      <c r="N282" s="181">
        <v>0</v>
      </c>
      <c r="O282" s="181">
        <v>0</v>
      </c>
      <c r="P282" s="181">
        <v>0</v>
      </c>
      <c r="Q282" s="181">
        <v>0</v>
      </c>
      <c r="R282" s="181">
        <v>0</v>
      </c>
      <c r="S282" s="182">
        <f t="shared" si="18"/>
        <v>52531.249999999985</v>
      </c>
      <c r="T282" s="183"/>
    </row>
    <row r="283" spans="1:20" ht="11.25">
      <c r="A283" s="175" t="s">
        <v>269</v>
      </c>
      <c r="B283" s="175">
        <v>3</v>
      </c>
      <c r="C283" s="176" t="s">
        <v>358</v>
      </c>
      <c r="D283" s="176" t="s">
        <v>356</v>
      </c>
      <c r="E283" s="176" t="s">
        <v>343</v>
      </c>
      <c r="F283" s="176"/>
      <c r="G283" s="176" t="s">
        <v>324</v>
      </c>
      <c r="H283" s="178" t="s">
        <v>325</v>
      </c>
      <c r="I283" s="175" t="s">
        <v>231</v>
      </c>
      <c r="J283" s="179" t="s">
        <v>352</v>
      </c>
      <c r="K283" s="179"/>
      <c r="L283" s="176" t="s">
        <v>357</v>
      </c>
      <c r="M283" s="180">
        <f t="shared" si="19"/>
        <v>53844.53124999998</v>
      </c>
      <c r="N283" s="181">
        <v>0</v>
      </c>
      <c r="O283" s="181">
        <v>0</v>
      </c>
      <c r="P283" s="181">
        <v>0</v>
      </c>
      <c r="Q283" s="181">
        <v>0</v>
      </c>
      <c r="R283" s="181">
        <v>0</v>
      </c>
      <c r="S283" s="182">
        <f t="shared" si="18"/>
        <v>53844.53124999998</v>
      </c>
      <c r="T283" s="183"/>
    </row>
    <row r="284" spans="1:20" ht="11.25">
      <c r="A284" s="175" t="s">
        <v>270</v>
      </c>
      <c r="B284" s="175">
        <v>4</v>
      </c>
      <c r="C284" s="176" t="s">
        <v>358</v>
      </c>
      <c r="D284" s="176" t="s">
        <v>356</v>
      </c>
      <c r="E284" s="176" t="s">
        <v>343</v>
      </c>
      <c r="F284" s="176"/>
      <c r="G284" s="176" t="s">
        <v>324</v>
      </c>
      <c r="H284" s="178" t="s">
        <v>325</v>
      </c>
      <c r="I284" s="175" t="s">
        <v>231</v>
      </c>
      <c r="J284" s="179" t="s">
        <v>352</v>
      </c>
      <c r="K284" s="179"/>
      <c r="L284" s="176" t="s">
        <v>357</v>
      </c>
      <c r="M284" s="180">
        <f t="shared" si="19"/>
        <v>55190.64453124997</v>
      </c>
      <c r="N284" s="181">
        <v>0</v>
      </c>
      <c r="O284" s="181">
        <v>0</v>
      </c>
      <c r="P284" s="181">
        <v>0</v>
      </c>
      <c r="Q284" s="181">
        <v>0</v>
      </c>
      <c r="R284" s="181">
        <v>0</v>
      </c>
      <c r="S284" s="182">
        <f t="shared" si="18"/>
        <v>55190.64453124997</v>
      </c>
      <c r="T284" s="183"/>
    </row>
    <row r="285" spans="1:20" ht="11.25">
      <c r="A285" s="175" t="s">
        <v>271</v>
      </c>
      <c r="B285" s="175">
        <v>5</v>
      </c>
      <c r="C285" s="176" t="s">
        <v>358</v>
      </c>
      <c r="D285" s="176" t="s">
        <v>356</v>
      </c>
      <c r="E285" s="176" t="s">
        <v>343</v>
      </c>
      <c r="F285" s="176"/>
      <c r="G285" s="176" t="s">
        <v>324</v>
      </c>
      <c r="H285" s="178" t="s">
        <v>325</v>
      </c>
      <c r="I285" s="175" t="s">
        <v>231</v>
      </c>
      <c r="J285" s="179" t="s">
        <v>352</v>
      </c>
      <c r="K285" s="179"/>
      <c r="L285" s="176" t="s">
        <v>357</v>
      </c>
      <c r="M285" s="180">
        <f t="shared" si="19"/>
        <v>56570.41064453121</v>
      </c>
      <c r="N285" s="181">
        <v>0</v>
      </c>
      <c r="O285" s="181">
        <v>0</v>
      </c>
      <c r="P285" s="181">
        <v>0</v>
      </c>
      <c r="Q285" s="181">
        <v>0</v>
      </c>
      <c r="R285" s="181">
        <v>0</v>
      </c>
      <c r="S285" s="182">
        <f t="shared" si="18"/>
        <v>56570.41064453121</v>
      </c>
      <c r="T285" s="183"/>
    </row>
    <row r="286" spans="1:20" ht="11.25">
      <c r="A286" s="175" t="s">
        <v>272</v>
      </c>
      <c r="B286" s="175">
        <v>6</v>
      </c>
      <c r="C286" s="176" t="s">
        <v>358</v>
      </c>
      <c r="D286" s="176" t="s">
        <v>356</v>
      </c>
      <c r="E286" s="176" t="s">
        <v>343</v>
      </c>
      <c r="F286" s="176"/>
      <c r="G286" s="176" t="s">
        <v>324</v>
      </c>
      <c r="H286" s="178" t="s">
        <v>325</v>
      </c>
      <c r="I286" s="175" t="s">
        <v>231</v>
      </c>
      <c r="J286" s="179" t="s">
        <v>352</v>
      </c>
      <c r="K286" s="179"/>
      <c r="L286" s="176" t="s">
        <v>357</v>
      </c>
      <c r="M286" s="180">
        <f t="shared" si="19"/>
        <v>57984.67091064449</v>
      </c>
      <c r="N286" s="181">
        <v>0</v>
      </c>
      <c r="O286" s="181">
        <v>0</v>
      </c>
      <c r="P286" s="181">
        <v>0</v>
      </c>
      <c r="Q286" s="181">
        <v>0</v>
      </c>
      <c r="R286" s="181">
        <v>0</v>
      </c>
      <c r="S286" s="182">
        <f t="shared" si="18"/>
        <v>57984.67091064449</v>
      </c>
      <c r="T286" s="183"/>
    </row>
    <row r="287" spans="1:20" ht="11.25">
      <c r="A287" s="175" t="s">
        <v>273</v>
      </c>
      <c r="B287" s="175">
        <v>7</v>
      </c>
      <c r="C287" s="176" t="s">
        <v>358</v>
      </c>
      <c r="D287" s="176" t="s">
        <v>356</v>
      </c>
      <c r="E287" s="176" t="s">
        <v>343</v>
      </c>
      <c r="F287" s="176"/>
      <c r="G287" s="176" t="s">
        <v>324</v>
      </c>
      <c r="H287" s="178" t="s">
        <v>325</v>
      </c>
      <c r="I287" s="175" t="s">
        <v>231</v>
      </c>
      <c r="J287" s="179" t="s">
        <v>352</v>
      </c>
      <c r="K287" s="179"/>
      <c r="L287" s="176" t="s">
        <v>357</v>
      </c>
      <c r="M287" s="180">
        <f t="shared" si="19"/>
        <v>59434.2876834106</v>
      </c>
      <c r="N287" s="181">
        <v>0</v>
      </c>
      <c r="O287" s="181">
        <v>0</v>
      </c>
      <c r="P287" s="181">
        <v>0</v>
      </c>
      <c r="Q287" s="181">
        <v>0</v>
      </c>
      <c r="R287" s="181">
        <v>0</v>
      </c>
      <c r="S287" s="182">
        <f t="shared" si="18"/>
        <v>59434.2876834106</v>
      </c>
      <c r="T287" s="183"/>
    </row>
    <row r="288" spans="1:20" ht="11.25">
      <c r="A288" s="175" t="s">
        <v>274</v>
      </c>
      <c r="B288" s="175">
        <v>8</v>
      </c>
      <c r="C288" s="176" t="s">
        <v>358</v>
      </c>
      <c r="D288" s="176" t="s">
        <v>356</v>
      </c>
      <c r="E288" s="176" t="s">
        <v>343</v>
      </c>
      <c r="F288" s="176"/>
      <c r="G288" s="176" t="s">
        <v>324</v>
      </c>
      <c r="H288" s="178" t="s">
        <v>325</v>
      </c>
      <c r="I288" s="175" t="s">
        <v>231</v>
      </c>
      <c r="J288" s="179" t="s">
        <v>352</v>
      </c>
      <c r="K288" s="179"/>
      <c r="L288" s="176" t="s">
        <v>357</v>
      </c>
      <c r="M288" s="180">
        <f t="shared" si="19"/>
        <v>60920.14487549586</v>
      </c>
      <c r="N288" s="181">
        <v>0</v>
      </c>
      <c r="O288" s="181">
        <v>0</v>
      </c>
      <c r="P288" s="181">
        <v>0</v>
      </c>
      <c r="Q288" s="181">
        <v>0</v>
      </c>
      <c r="R288" s="181">
        <v>0</v>
      </c>
      <c r="S288" s="182">
        <f t="shared" si="18"/>
        <v>60920.14487549586</v>
      </c>
      <c r="T288" s="183"/>
    </row>
    <row r="289" spans="1:20" ht="11.25">
      <c r="A289" s="175" t="s">
        <v>275</v>
      </c>
      <c r="B289" s="175">
        <v>9</v>
      </c>
      <c r="C289" s="176" t="s">
        <v>358</v>
      </c>
      <c r="D289" s="176" t="s">
        <v>356</v>
      </c>
      <c r="E289" s="176" t="s">
        <v>343</v>
      </c>
      <c r="F289" s="176"/>
      <c r="G289" s="176" t="s">
        <v>324</v>
      </c>
      <c r="H289" s="178" t="s">
        <v>325</v>
      </c>
      <c r="I289" s="175" t="s">
        <v>231</v>
      </c>
      <c r="J289" s="179" t="s">
        <v>352</v>
      </c>
      <c r="K289" s="179"/>
      <c r="L289" s="176" t="s">
        <v>357</v>
      </c>
      <c r="M289" s="180">
        <f t="shared" si="19"/>
        <v>62443.148497383256</v>
      </c>
      <c r="N289" s="181">
        <v>0</v>
      </c>
      <c r="O289" s="181">
        <v>0</v>
      </c>
      <c r="P289" s="181">
        <v>0</v>
      </c>
      <c r="Q289" s="181">
        <v>0</v>
      </c>
      <c r="R289" s="181">
        <v>0</v>
      </c>
      <c r="S289" s="182">
        <f t="shared" si="18"/>
        <v>62443.148497383256</v>
      </c>
      <c r="T289" s="183"/>
    </row>
    <row r="290" spans="1:20" ht="11.25">
      <c r="A290" s="175" t="s">
        <v>276</v>
      </c>
      <c r="B290" s="175">
        <v>10</v>
      </c>
      <c r="C290" s="176" t="s">
        <v>358</v>
      </c>
      <c r="D290" s="176" t="s">
        <v>356</v>
      </c>
      <c r="E290" s="176" t="s">
        <v>343</v>
      </c>
      <c r="F290" s="176"/>
      <c r="G290" s="176" t="s">
        <v>324</v>
      </c>
      <c r="H290" s="178" t="s">
        <v>325</v>
      </c>
      <c r="I290" s="175" t="s">
        <v>231</v>
      </c>
      <c r="J290" s="179" t="s">
        <v>352</v>
      </c>
      <c r="K290" s="179"/>
      <c r="L290" s="176" t="s">
        <v>357</v>
      </c>
      <c r="M290" s="180">
        <f t="shared" si="19"/>
        <v>64004.22720981783</v>
      </c>
      <c r="N290" s="181">
        <v>0</v>
      </c>
      <c r="O290" s="181">
        <v>0</v>
      </c>
      <c r="P290" s="181">
        <v>0</v>
      </c>
      <c r="Q290" s="181">
        <v>0</v>
      </c>
      <c r="R290" s="181">
        <v>0</v>
      </c>
      <c r="S290" s="182">
        <f t="shared" si="18"/>
        <v>64004.22720981783</v>
      </c>
      <c r="T290" s="183"/>
    </row>
    <row r="291" spans="1:20" ht="11.25">
      <c r="A291" s="175" t="s">
        <v>277</v>
      </c>
      <c r="B291" s="175">
        <v>11</v>
      </c>
      <c r="C291" s="176" t="s">
        <v>358</v>
      </c>
      <c r="D291" s="176" t="s">
        <v>356</v>
      </c>
      <c r="E291" s="176" t="s">
        <v>343</v>
      </c>
      <c r="F291" s="176"/>
      <c r="G291" s="176" t="s">
        <v>324</v>
      </c>
      <c r="H291" s="178" t="s">
        <v>325</v>
      </c>
      <c r="I291" s="175" t="s">
        <v>231</v>
      </c>
      <c r="J291" s="179" t="s">
        <v>352</v>
      </c>
      <c r="K291" s="179"/>
      <c r="L291" s="176" t="s">
        <v>357</v>
      </c>
      <c r="M291" s="180">
        <f t="shared" si="19"/>
        <v>65604.33289006326</v>
      </c>
      <c r="N291" s="181">
        <v>0</v>
      </c>
      <c r="O291" s="181">
        <v>0</v>
      </c>
      <c r="P291" s="181">
        <v>0</v>
      </c>
      <c r="Q291" s="181">
        <v>0</v>
      </c>
      <c r="R291" s="181">
        <v>0</v>
      </c>
      <c r="S291" s="182">
        <f t="shared" si="18"/>
        <v>65604.33289006326</v>
      </c>
      <c r="T291" s="183"/>
    </row>
    <row r="292" spans="1:20" ht="11.25">
      <c r="A292" s="175" t="s">
        <v>278</v>
      </c>
      <c r="B292" s="175">
        <v>12</v>
      </c>
      <c r="C292" s="176" t="s">
        <v>358</v>
      </c>
      <c r="D292" s="176" t="s">
        <v>356</v>
      </c>
      <c r="E292" s="176" t="s">
        <v>343</v>
      </c>
      <c r="F292" s="176"/>
      <c r="G292" s="176" t="s">
        <v>324</v>
      </c>
      <c r="H292" s="178" t="s">
        <v>325</v>
      </c>
      <c r="I292" s="175" t="s">
        <v>231</v>
      </c>
      <c r="J292" s="179" t="s">
        <v>352</v>
      </c>
      <c r="K292" s="179"/>
      <c r="L292" s="176" t="s">
        <v>357</v>
      </c>
      <c r="M292" s="180">
        <f t="shared" si="19"/>
        <v>67244.44121231484</v>
      </c>
      <c r="N292" s="181">
        <v>0</v>
      </c>
      <c r="O292" s="181">
        <v>0</v>
      </c>
      <c r="P292" s="181">
        <v>0</v>
      </c>
      <c r="Q292" s="181">
        <v>0</v>
      </c>
      <c r="R292" s="181">
        <v>0</v>
      </c>
      <c r="S292" s="182">
        <f t="shared" si="18"/>
        <v>67244.44121231484</v>
      </c>
      <c r="T292" s="183"/>
    </row>
    <row r="293" spans="1:20" ht="11.25">
      <c r="A293" s="175" t="s">
        <v>279</v>
      </c>
      <c r="B293" s="175">
        <v>13</v>
      </c>
      <c r="C293" s="176" t="s">
        <v>358</v>
      </c>
      <c r="D293" s="176" t="s">
        <v>356</v>
      </c>
      <c r="E293" s="176" t="s">
        <v>343</v>
      </c>
      <c r="F293" s="176"/>
      <c r="G293" s="176" t="s">
        <v>324</v>
      </c>
      <c r="H293" s="178" t="s">
        <v>325</v>
      </c>
      <c r="I293" s="175" t="s">
        <v>231</v>
      </c>
      <c r="J293" s="179" t="s">
        <v>352</v>
      </c>
      <c r="K293" s="179"/>
      <c r="L293" s="176" t="s">
        <v>357</v>
      </c>
      <c r="M293" s="180">
        <f t="shared" si="19"/>
        <v>68925.5522426227</v>
      </c>
      <c r="N293" s="181">
        <v>0</v>
      </c>
      <c r="O293" s="181">
        <v>0</v>
      </c>
      <c r="P293" s="181">
        <v>0</v>
      </c>
      <c r="Q293" s="181">
        <v>0</v>
      </c>
      <c r="R293" s="181">
        <v>0</v>
      </c>
      <c r="S293" s="182">
        <f t="shared" si="18"/>
        <v>68925.5522426227</v>
      </c>
      <c r="T293" s="183"/>
    </row>
    <row r="294" spans="1:20" ht="11.25">
      <c r="A294" s="175" t="s">
        <v>280</v>
      </c>
      <c r="B294" s="175">
        <v>14</v>
      </c>
      <c r="C294" s="176" t="s">
        <v>358</v>
      </c>
      <c r="D294" s="176" t="s">
        <v>356</v>
      </c>
      <c r="E294" s="176" t="s">
        <v>343</v>
      </c>
      <c r="F294" s="176"/>
      <c r="G294" s="176" t="s">
        <v>324</v>
      </c>
      <c r="H294" s="178" t="s">
        <v>325</v>
      </c>
      <c r="I294" s="175" t="s">
        <v>231</v>
      </c>
      <c r="J294" s="179" t="s">
        <v>352</v>
      </c>
      <c r="K294" s="179"/>
      <c r="L294" s="176" t="s">
        <v>357</v>
      </c>
      <c r="M294" s="180">
        <f t="shared" si="19"/>
        <v>70648.69104868826</v>
      </c>
      <c r="N294" s="181">
        <v>0</v>
      </c>
      <c r="O294" s="181">
        <v>0</v>
      </c>
      <c r="P294" s="181">
        <v>0</v>
      </c>
      <c r="Q294" s="181">
        <v>0</v>
      </c>
      <c r="R294" s="181">
        <v>0</v>
      </c>
      <c r="S294" s="182">
        <f t="shared" si="18"/>
        <v>70648.69104868826</v>
      </c>
      <c r="T294" s="183"/>
    </row>
    <row r="295" spans="1:20" ht="11.25">
      <c r="A295" s="175" t="s">
        <v>281</v>
      </c>
      <c r="B295" s="175">
        <v>15</v>
      </c>
      <c r="C295" s="176" t="s">
        <v>358</v>
      </c>
      <c r="D295" s="176" t="s">
        <v>356</v>
      </c>
      <c r="E295" s="176" t="s">
        <v>343</v>
      </c>
      <c r="F295" s="176"/>
      <c r="G295" s="176" t="s">
        <v>324</v>
      </c>
      <c r="H295" s="178" t="s">
        <v>325</v>
      </c>
      <c r="I295" s="175" t="s">
        <v>231</v>
      </c>
      <c r="J295" s="179" t="s">
        <v>352</v>
      </c>
      <c r="K295" s="179"/>
      <c r="L295" s="176" t="s">
        <v>357</v>
      </c>
      <c r="M295" s="180">
        <f t="shared" si="19"/>
        <v>72414.90832490545</v>
      </c>
      <c r="N295" s="181">
        <v>0</v>
      </c>
      <c r="O295" s="181">
        <v>0</v>
      </c>
      <c r="P295" s="181">
        <v>0</v>
      </c>
      <c r="Q295" s="181">
        <v>0</v>
      </c>
      <c r="R295" s="181">
        <v>0</v>
      </c>
      <c r="S295" s="182">
        <f t="shared" si="18"/>
        <v>72414.90832490545</v>
      </c>
      <c r="T295" s="183"/>
    </row>
    <row r="296" spans="1:20" ht="11.25">
      <c r="A296" s="175" t="s">
        <v>282</v>
      </c>
      <c r="B296" s="175">
        <v>16</v>
      </c>
      <c r="C296" s="176" t="s">
        <v>358</v>
      </c>
      <c r="D296" s="176" t="s">
        <v>356</v>
      </c>
      <c r="E296" s="176" t="s">
        <v>343</v>
      </c>
      <c r="F296" s="176"/>
      <c r="G296" s="176" t="s">
        <v>324</v>
      </c>
      <c r="H296" s="178" t="s">
        <v>325</v>
      </c>
      <c r="I296" s="175" t="s">
        <v>231</v>
      </c>
      <c r="J296" s="179" t="s">
        <v>352</v>
      </c>
      <c r="K296" s="179"/>
      <c r="L296" s="176" t="s">
        <v>357</v>
      </c>
      <c r="M296" s="180">
        <f t="shared" si="19"/>
        <v>74225.28103302808</v>
      </c>
      <c r="N296" s="181">
        <v>0</v>
      </c>
      <c r="O296" s="181">
        <v>0</v>
      </c>
      <c r="P296" s="181">
        <v>0</v>
      </c>
      <c r="Q296" s="181">
        <v>0</v>
      </c>
      <c r="R296" s="181">
        <v>0</v>
      </c>
      <c r="S296" s="182">
        <f t="shared" si="18"/>
        <v>74225.28103302808</v>
      </c>
      <c r="T296" s="183"/>
    </row>
    <row r="297" spans="1:20" ht="11.25">
      <c r="A297" s="175" t="s">
        <v>283</v>
      </c>
      <c r="B297" s="175">
        <v>17</v>
      </c>
      <c r="C297" s="176" t="s">
        <v>358</v>
      </c>
      <c r="D297" s="176" t="s">
        <v>356</v>
      </c>
      <c r="E297" s="176" t="s">
        <v>343</v>
      </c>
      <c r="F297" s="176"/>
      <c r="G297" s="176" t="s">
        <v>324</v>
      </c>
      <c r="H297" s="178" t="s">
        <v>325</v>
      </c>
      <c r="I297" s="175" t="s">
        <v>231</v>
      </c>
      <c r="J297" s="179" t="s">
        <v>352</v>
      </c>
      <c r="K297" s="179"/>
      <c r="L297" s="176" t="s">
        <v>357</v>
      </c>
      <c r="M297" s="180">
        <f t="shared" si="19"/>
        <v>76080.91305885377</v>
      </c>
      <c r="N297" s="181">
        <v>0</v>
      </c>
      <c r="O297" s="181">
        <v>0</v>
      </c>
      <c r="P297" s="181">
        <v>0</v>
      </c>
      <c r="Q297" s="181">
        <v>0</v>
      </c>
      <c r="R297" s="181">
        <v>0</v>
      </c>
      <c r="S297" s="182">
        <f t="shared" si="18"/>
        <v>76080.91305885377</v>
      </c>
      <c r="T297" s="183"/>
    </row>
    <row r="298" spans="1:20" ht="11.25">
      <c r="A298" s="175" t="s">
        <v>284</v>
      </c>
      <c r="B298" s="175">
        <v>18</v>
      </c>
      <c r="C298" s="176" t="s">
        <v>358</v>
      </c>
      <c r="D298" s="176" t="s">
        <v>356</v>
      </c>
      <c r="E298" s="176" t="s">
        <v>343</v>
      </c>
      <c r="F298" s="176"/>
      <c r="G298" s="176" t="s">
        <v>324</v>
      </c>
      <c r="H298" s="178" t="s">
        <v>325</v>
      </c>
      <c r="I298" s="175" t="s">
        <v>231</v>
      </c>
      <c r="J298" s="179" t="s">
        <v>352</v>
      </c>
      <c r="K298" s="179"/>
      <c r="L298" s="176" t="s">
        <v>357</v>
      </c>
      <c r="M298" s="180">
        <f t="shared" si="19"/>
        <v>77982.9358853251</v>
      </c>
      <c r="N298" s="181">
        <v>0</v>
      </c>
      <c r="O298" s="181">
        <v>0</v>
      </c>
      <c r="P298" s="181">
        <v>0</v>
      </c>
      <c r="Q298" s="181">
        <v>0</v>
      </c>
      <c r="R298" s="181">
        <v>0</v>
      </c>
      <c r="S298" s="182">
        <f t="shared" si="18"/>
        <v>77982.9358853251</v>
      </c>
      <c r="T298" s="183"/>
    </row>
    <row r="299" spans="1:20" ht="11.25">
      <c r="A299" s="175" t="s">
        <v>285</v>
      </c>
      <c r="B299" s="175">
        <v>19</v>
      </c>
      <c r="C299" s="176" t="s">
        <v>358</v>
      </c>
      <c r="D299" s="176" t="s">
        <v>356</v>
      </c>
      <c r="E299" s="176" t="s">
        <v>343</v>
      </c>
      <c r="F299" s="176"/>
      <c r="G299" s="176" t="s">
        <v>324</v>
      </c>
      <c r="H299" s="178" t="s">
        <v>325</v>
      </c>
      <c r="I299" s="175" t="s">
        <v>231</v>
      </c>
      <c r="J299" s="179" t="s">
        <v>352</v>
      </c>
      <c r="K299" s="179"/>
      <c r="L299" s="176" t="s">
        <v>357</v>
      </c>
      <c r="M299" s="180">
        <f t="shared" si="19"/>
        <v>79932.50928245822</v>
      </c>
      <c r="N299" s="181">
        <v>0</v>
      </c>
      <c r="O299" s="181">
        <v>0</v>
      </c>
      <c r="P299" s="181">
        <v>0</v>
      </c>
      <c r="Q299" s="181">
        <v>0</v>
      </c>
      <c r="R299" s="181">
        <v>0</v>
      </c>
      <c r="S299" s="182">
        <f t="shared" si="18"/>
        <v>79932.50928245822</v>
      </c>
      <c r="T299" s="183"/>
    </row>
    <row r="300" spans="1:20" ht="11.25">
      <c r="A300" s="175" t="s">
        <v>303</v>
      </c>
      <c r="B300" s="175">
        <v>20</v>
      </c>
      <c r="C300" s="176" t="s">
        <v>358</v>
      </c>
      <c r="D300" s="176" t="s">
        <v>356</v>
      </c>
      <c r="E300" s="176" t="s">
        <v>343</v>
      </c>
      <c r="F300" s="176"/>
      <c r="G300" s="176" t="s">
        <v>324</v>
      </c>
      <c r="H300" s="178" t="s">
        <v>325</v>
      </c>
      <c r="I300" s="175" t="s">
        <v>231</v>
      </c>
      <c r="J300" s="179" t="s">
        <v>352</v>
      </c>
      <c r="K300" s="179"/>
      <c r="L300" s="176" t="s">
        <v>357</v>
      </c>
      <c r="M300" s="180">
        <f t="shared" si="19"/>
        <v>81930.82201451967</v>
      </c>
      <c r="N300" s="181">
        <v>0</v>
      </c>
      <c r="O300" s="181">
        <v>0</v>
      </c>
      <c r="P300" s="181">
        <v>0</v>
      </c>
      <c r="Q300" s="181">
        <v>0</v>
      </c>
      <c r="R300" s="181">
        <v>0</v>
      </c>
      <c r="S300" s="182">
        <f t="shared" si="18"/>
        <v>81930.82201451967</v>
      </c>
      <c r="T300" s="183"/>
    </row>
    <row r="301" spans="1:20" ht="11.25">
      <c r="A301" s="175" t="s">
        <v>265</v>
      </c>
      <c r="B301" s="175">
        <v>0</v>
      </c>
      <c r="C301" s="176" t="s">
        <v>341</v>
      </c>
      <c r="D301" s="176" t="s">
        <v>342</v>
      </c>
      <c r="E301" s="176" t="s">
        <v>343</v>
      </c>
      <c r="F301" s="176"/>
      <c r="G301" s="176" t="s">
        <v>324</v>
      </c>
      <c r="H301" s="178" t="s">
        <v>325</v>
      </c>
      <c r="I301" s="175" t="s">
        <v>231</v>
      </c>
      <c r="J301" s="179" t="s">
        <v>326</v>
      </c>
      <c r="K301" s="179"/>
      <c r="L301" s="176" t="s">
        <v>359</v>
      </c>
      <c r="M301" s="180">
        <v>343500</v>
      </c>
      <c r="N301" s="181">
        <v>0</v>
      </c>
      <c r="O301" s="181">
        <v>0</v>
      </c>
      <c r="P301" s="181">
        <v>0</v>
      </c>
      <c r="Q301" s="181">
        <v>0</v>
      </c>
      <c r="R301" s="181">
        <v>0</v>
      </c>
      <c r="S301" s="182">
        <f t="shared" si="18"/>
        <v>343500</v>
      </c>
      <c r="T301" s="183"/>
    </row>
    <row r="302" spans="1:20" ht="11.25">
      <c r="A302" s="175" t="s">
        <v>267</v>
      </c>
      <c r="B302" s="175">
        <v>1</v>
      </c>
      <c r="C302" s="176" t="s">
        <v>341</v>
      </c>
      <c r="D302" s="176" t="s">
        <v>342</v>
      </c>
      <c r="E302" s="176" t="s">
        <v>343</v>
      </c>
      <c r="F302" s="176"/>
      <c r="G302" s="176" t="s">
        <v>324</v>
      </c>
      <c r="H302" s="178" t="s">
        <v>325</v>
      </c>
      <c r="I302" s="175" t="s">
        <v>231</v>
      </c>
      <c r="J302" s="179" t="s">
        <v>352</v>
      </c>
      <c r="K302" s="179"/>
      <c r="L302" s="176" t="s">
        <v>465</v>
      </c>
      <c r="M302" s="180">
        <v>509500</v>
      </c>
      <c r="N302" s="181">
        <v>0</v>
      </c>
      <c r="O302" s="181">
        <v>0</v>
      </c>
      <c r="P302" s="181">
        <v>0</v>
      </c>
      <c r="Q302" s="181">
        <v>0</v>
      </c>
      <c r="R302" s="181">
        <v>0</v>
      </c>
      <c r="S302" s="182">
        <f t="shared" si="18"/>
        <v>509500</v>
      </c>
      <c r="T302" s="183"/>
    </row>
    <row r="303" spans="1:20" ht="11.25">
      <c r="A303" s="175" t="s">
        <v>268</v>
      </c>
      <c r="B303" s="175">
        <v>2</v>
      </c>
      <c r="C303" s="176" t="s">
        <v>341</v>
      </c>
      <c r="D303" s="176" t="s">
        <v>342</v>
      </c>
      <c r="E303" s="176" t="s">
        <v>343</v>
      </c>
      <c r="F303" s="176"/>
      <c r="G303" s="176" t="s">
        <v>324</v>
      </c>
      <c r="H303" s="178" t="s">
        <v>325</v>
      </c>
      <c r="I303" s="175" t="s">
        <v>231</v>
      </c>
      <c r="J303" s="179" t="s">
        <v>352</v>
      </c>
      <c r="K303" s="179"/>
      <c r="L303" s="176" t="s">
        <v>359</v>
      </c>
      <c r="M303" s="180">
        <f t="shared" si="19"/>
        <v>522237.49999999994</v>
      </c>
      <c r="N303" s="181">
        <v>0</v>
      </c>
      <c r="O303" s="181">
        <v>0</v>
      </c>
      <c r="P303" s="181">
        <v>0</v>
      </c>
      <c r="Q303" s="181">
        <v>0</v>
      </c>
      <c r="R303" s="181">
        <v>0</v>
      </c>
      <c r="S303" s="182">
        <f t="shared" si="18"/>
        <v>522237.49999999994</v>
      </c>
      <c r="T303" s="183"/>
    </row>
    <row r="304" spans="1:20" ht="11.25">
      <c r="A304" s="175" t="s">
        <v>269</v>
      </c>
      <c r="B304" s="175">
        <v>3</v>
      </c>
      <c r="C304" s="176" t="s">
        <v>341</v>
      </c>
      <c r="D304" s="176" t="s">
        <v>342</v>
      </c>
      <c r="E304" s="176" t="s">
        <v>343</v>
      </c>
      <c r="F304" s="176"/>
      <c r="G304" s="176" t="s">
        <v>324</v>
      </c>
      <c r="H304" s="178" t="s">
        <v>325</v>
      </c>
      <c r="I304" s="175" t="s">
        <v>231</v>
      </c>
      <c r="J304" s="179" t="s">
        <v>352</v>
      </c>
      <c r="K304" s="179"/>
      <c r="L304" s="176" t="s">
        <v>359</v>
      </c>
      <c r="M304" s="180">
        <f t="shared" si="19"/>
        <v>535293.4374999999</v>
      </c>
      <c r="N304" s="181">
        <v>0</v>
      </c>
      <c r="O304" s="181">
        <v>0</v>
      </c>
      <c r="P304" s="181">
        <v>0</v>
      </c>
      <c r="Q304" s="181">
        <v>0</v>
      </c>
      <c r="R304" s="181">
        <v>0</v>
      </c>
      <c r="S304" s="182">
        <f t="shared" si="18"/>
        <v>535293.4374999999</v>
      </c>
      <c r="T304" s="183"/>
    </row>
    <row r="305" spans="1:20" ht="11.25">
      <c r="A305" s="175" t="s">
        <v>270</v>
      </c>
      <c r="B305" s="175">
        <v>4</v>
      </c>
      <c r="C305" s="176" t="s">
        <v>341</v>
      </c>
      <c r="D305" s="176" t="s">
        <v>342</v>
      </c>
      <c r="E305" s="176" t="s">
        <v>343</v>
      </c>
      <c r="F305" s="176"/>
      <c r="G305" s="176" t="s">
        <v>324</v>
      </c>
      <c r="H305" s="178" t="s">
        <v>325</v>
      </c>
      <c r="I305" s="175" t="s">
        <v>231</v>
      </c>
      <c r="J305" s="179" t="s">
        <v>352</v>
      </c>
      <c r="K305" s="179"/>
      <c r="L305" s="176" t="s">
        <v>359</v>
      </c>
      <c r="M305" s="180">
        <f t="shared" si="19"/>
        <v>548675.7734374999</v>
      </c>
      <c r="N305" s="181">
        <v>0</v>
      </c>
      <c r="O305" s="181">
        <v>0</v>
      </c>
      <c r="P305" s="181">
        <v>0</v>
      </c>
      <c r="Q305" s="181">
        <v>0</v>
      </c>
      <c r="R305" s="181">
        <v>0</v>
      </c>
      <c r="S305" s="182">
        <f t="shared" si="18"/>
        <v>548675.7734374999</v>
      </c>
      <c r="T305" s="183"/>
    </row>
    <row r="306" spans="1:20" ht="11.25">
      <c r="A306" s="175" t="s">
        <v>271</v>
      </c>
      <c r="B306" s="175">
        <v>5</v>
      </c>
      <c r="C306" s="176" t="s">
        <v>341</v>
      </c>
      <c r="D306" s="176" t="s">
        <v>342</v>
      </c>
      <c r="E306" s="176" t="s">
        <v>343</v>
      </c>
      <c r="F306" s="176"/>
      <c r="G306" s="176" t="s">
        <v>324</v>
      </c>
      <c r="H306" s="178" t="s">
        <v>325</v>
      </c>
      <c r="I306" s="175" t="s">
        <v>231</v>
      </c>
      <c r="J306" s="179" t="s">
        <v>352</v>
      </c>
      <c r="K306" s="179"/>
      <c r="L306" s="176" t="s">
        <v>359</v>
      </c>
      <c r="M306" s="180">
        <f t="shared" si="19"/>
        <v>562392.6677734373</v>
      </c>
      <c r="N306" s="181">
        <v>0</v>
      </c>
      <c r="O306" s="181">
        <v>0</v>
      </c>
      <c r="P306" s="181">
        <v>0</v>
      </c>
      <c r="Q306" s="181">
        <v>0</v>
      </c>
      <c r="R306" s="181">
        <v>0</v>
      </c>
      <c r="S306" s="182">
        <f t="shared" si="18"/>
        <v>562392.6677734373</v>
      </c>
      <c r="T306" s="183"/>
    </row>
    <row r="307" spans="1:20" ht="11.25">
      <c r="A307" s="175" t="s">
        <v>272</v>
      </c>
      <c r="B307" s="175">
        <v>6</v>
      </c>
      <c r="C307" s="176" t="s">
        <v>341</v>
      </c>
      <c r="D307" s="176" t="s">
        <v>342</v>
      </c>
      <c r="E307" s="176" t="s">
        <v>343</v>
      </c>
      <c r="F307" s="176"/>
      <c r="G307" s="176" t="s">
        <v>324</v>
      </c>
      <c r="H307" s="178" t="s">
        <v>325</v>
      </c>
      <c r="I307" s="175" t="s">
        <v>231</v>
      </c>
      <c r="J307" s="179" t="s">
        <v>352</v>
      </c>
      <c r="K307" s="179"/>
      <c r="L307" s="176" t="s">
        <v>359</v>
      </c>
      <c r="M307" s="180">
        <f t="shared" si="19"/>
        <v>576452.4844677732</v>
      </c>
      <c r="N307" s="181">
        <v>0</v>
      </c>
      <c r="O307" s="181">
        <v>0</v>
      </c>
      <c r="P307" s="181">
        <v>0</v>
      </c>
      <c r="Q307" s="181">
        <v>0</v>
      </c>
      <c r="R307" s="181">
        <v>0</v>
      </c>
      <c r="S307" s="182">
        <f t="shared" si="18"/>
        <v>576452.4844677732</v>
      </c>
      <c r="T307" s="183"/>
    </row>
    <row r="308" spans="1:20" ht="11.25">
      <c r="A308" s="175" t="s">
        <v>273</v>
      </c>
      <c r="B308" s="175">
        <v>7</v>
      </c>
      <c r="C308" s="176" t="s">
        <v>341</v>
      </c>
      <c r="D308" s="176" t="s">
        <v>342</v>
      </c>
      <c r="E308" s="176" t="s">
        <v>343</v>
      </c>
      <c r="F308" s="176"/>
      <c r="G308" s="176" t="s">
        <v>324</v>
      </c>
      <c r="H308" s="178" t="s">
        <v>325</v>
      </c>
      <c r="I308" s="175" t="s">
        <v>231</v>
      </c>
      <c r="J308" s="179" t="s">
        <v>352</v>
      </c>
      <c r="K308" s="179"/>
      <c r="L308" s="176" t="s">
        <v>359</v>
      </c>
      <c r="M308" s="180">
        <f t="shared" si="19"/>
        <v>590863.7965794675</v>
      </c>
      <c r="N308" s="181">
        <v>0</v>
      </c>
      <c r="O308" s="181">
        <v>0</v>
      </c>
      <c r="P308" s="181">
        <v>0</v>
      </c>
      <c r="Q308" s="181">
        <v>0</v>
      </c>
      <c r="R308" s="181">
        <v>0</v>
      </c>
      <c r="S308" s="182">
        <f t="shared" si="18"/>
        <v>590863.7965794675</v>
      </c>
      <c r="T308" s="183"/>
    </row>
    <row r="309" spans="1:20" ht="11.25">
      <c r="A309" s="175" t="s">
        <v>274</v>
      </c>
      <c r="B309" s="175">
        <v>8</v>
      </c>
      <c r="C309" s="176" t="s">
        <v>341</v>
      </c>
      <c r="D309" s="176" t="s">
        <v>342</v>
      </c>
      <c r="E309" s="176" t="s">
        <v>343</v>
      </c>
      <c r="F309" s="176"/>
      <c r="G309" s="176" t="s">
        <v>324</v>
      </c>
      <c r="H309" s="178" t="s">
        <v>325</v>
      </c>
      <c r="I309" s="175" t="s">
        <v>231</v>
      </c>
      <c r="J309" s="179" t="s">
        <v>352</v>
      </c>
      <c r="K309" s="179"/>
      <c r="L309" s="176" t="s">
        <v>359</v>
      </c>
      <c r="M309" s="180">
        <f t="shared" si="19"/>
        <v>605635.3914939541</v>
      </c>
      <c r="N309" s="181">
        <v>0</v>
      </c>
      <c r="O309" s="181">
        <v>0</v>
      </c>
      <c r="P309" s="181">
        <v>0</v>
      </c>
      <c r="Q309" s="181">
        <v>0</v>
      </c>
      <c r="R309" s="181">
        <v>0</v>
      </c>
      <c r="S309" s="182">
        <f t="shared" si="18"/>
        <v>605635.3914939541</v>
      </c>
      <c r="T309" s="183"/>
    </row>
    <row r="310" spans="1:20" ht="11.25">
      <c r="A310" s="175" t="s">
        <v>275</v>
      </c>
      <c r="B310" s="175">
        <v>9</v>
      </c>
      <c r="C310" s="176" t="s">
        <v>341</v>
      </c>
      <c r="D310" s="176" t="s">
        <v>342</v>
      </c>
      <c r="E310" s="176" t="s">
        <v>343</v>
      </c>
      <c r="F310" s="176"/>
      <c r="G310" s="176" t="s">
        <v>324</v>
      </c>
      <c r="H310" s="178" t="s">
        <v>325</v>
      </c>
      <c r="I310" s="175" t="s">
        <v>231</v>
      </c>
      <c r="J310" s="179" t="s">
        <v>352</v>
      </c>
      <c r="K310" s="179"/>
      <c r="L310" s="176" t="s">
        <v>359</v>
      </c>
      <c r="M310" s="180">
        <f t="shared" si="19"/>
        <v>620776.2762813029</v>
      </c>
      <c r="N310" s="181">
        <v>0</v>
      </c>
      <c r="O310" s="181">
        <v>0</v>
      </c>
      <c r="P310" s="181">
        <v>0</v>
      </c>
      <c r="Q310" s="181">
        <v>0</v>
      </c>
      <c r="R310" s="181">
        <v>0</v>
      </c>
      <c r="S310" s="182">
        <f t="shared" si="18"/>
        <v>620776.2762813029</v>
      </c>
      <c r="T310" s="183"/>
    </row>
    <row r="311" spans="1:20" ht="11.25">
      <c r="A311" s="175" t="s">
        <v>276</v>
      </c>
      <c r="B311" s="175">
        <v>10</v>
      </c>
      <c r="C311" s="176" t="s">
        <v>341</v>
      </c>
      <c r="D311" s="176" t="s">
        <v>342</v>
      </c>
      <c r="E311" s="176" t="s">
        <v>343</v>
      </c>
      <c r="F311" s="176"/>
      <c r="G311" s="176" t="s">
        <v>324</v>
      </c>
      <c r="H311" s="178" t="s">
        <v>325</v>
      </c>
      <c r="I311" s="175" t="s">
        <v>231</v>
      </c>
      <c r="J311" s="179" t="s">
        <v>352</v>
      </c>
      <c r="K311" s="179"/>
      <c r="L311" s="176" t="s">
        <v>359</v>
      </c>
      <c r="M311" s="180">
        <f t="shared" si="19"/>
        <v>636295.6831883354</v>
      </c>
      <c r="N311" s="181">
        <v>0</v>
      </c>
      <c r="O311" s="181">
        <v>0</v>
      </c>
      <c r="P311" s="181">
        <v>0</v>
      </c>
      <c r="Q311" s="181">
        <v>0</v>
      </c>
      <c r="R311" s="181">
        <v>0</v>
      </c>
      <c r="S311" s="182">
        <f t="shared" si="18"/>
        <v>636295.6831883354</v>
      </c>
      <c r="T311" s="183"/>
    </row>
    <row r="312" spans="1:20" ht="11.25">
      <c r="A312" s="175" t="s">
        <v>277</v>
      </c>
      <c r="B312" s="175">
        <v>11</v>
      </c>
      <c r="C312" s="176" t="s">
        <v>341</v>
      </c>
      <c r="D312" s="176" t="s">
        <v>342</v>
      </c>
      <c r="E312" s="176" t="s">
        <v>343</v>
      </c>
      <c r="F312" s="176"/>
      <c r="G312" s="176" t="s">
        <v>324</v>
      </c>
      <c r="H312" s="178" t="s">
        <v>325</v>
      </c>
      <c r="I312" s="175" t="s">
        <v>231</v>
      </c>
      <c r="J312" s="179" t="s">
        <v>352</v>
      </c>
      <c r="K312" s="179"/>
      <c r="L312" s="176" t="s">
        <v>359</v>
      </c>
      <c r="M312" s="180">
        <f t="shared" si="19"/>
        <v>652203.0752680437</v>
      </c>
      <c r="N312" s="181">
        <v>0</v>
      </c>
      <c r="O312" s="181">
        <v>0</v>
      </c>
      <c r="P312" s="181">
        <v>0</v>
      </c>
      <c r="Q312" s="181">
        <v>0</v>
      </c>
      <c r="R312" s="181">
        <v>0</v>
      </c>
      <c r="S312" s="182">
        <f t="shared" si="18"/>
        <v>652203.0752680437</v>
      </c>
      <c r="T312" s="183"/>
    </row>
    <row r="313" spans="1:20" ht="11.25">
      <c r="A313" s="175" t="s">
        <v>278</v>
      </c>
      <c r="B313" s="175">
        <v>12</v>
      </c>
      <c r="C313" s="176" t="s">
        <v>341</v>
      </c>
      <c r="D313" s="176" t="s">
        <v>342</v>
      </c>
      <c r="E313" s="176" t="s">
        <v>343</v>
      </c>
      <c r="F313" s="176"/>
      <c r="G313" s="176" t="s">
        <v>324</v>
      </c>
      <c r="H313" s="178" t="s">
        <v>325</v>
      </c>
      <c r="I313" s="175" t="s">
        <v>231</v>
      </c>
      <c r="J313" s="179" t="s">
        <v>352</v>
      </c>
      <c r="K313" s="179"/>
      <c r="L313" s="176" t="s">
        <v>359</v>
      </c>
      <c r="M313" s="180">
        <f t="shared" si="19"/>
        <v>668508.1521497447</v>
      </c>
      <c r="N313" s="181">
        <v>0</v>
      </c>
      <c r="O313" s="181">
        <v>0</v>
      </c>
      <c r="P313" s="181">
        <v>0</v>
      </c>
      <c r="Q313" s="181">
        <v>0</v>
      </c>
      <c r="R313" s="181">
        <v>0</v>
      </c>
      <c r="S313" s="182">
        <f t="shared" si="18"/>
        <v>668508.1521497447</v>
      </c>
      <c r="T313" s="183"/>
    </row>
    <row r="314" spans="1:20" ht="11.25">
      <c r="A314" s="175" t="s">
        <v>279</v>
      </c>
      <c r="B314" s="175">
        <v>13</v>
      </c>
      <c r="C314" s="176" t="s">
        <v>341</v>
      </c>
      <c r="D314" s="176" t="s">
        <v>342</v>
      </c>
      <c r="E314" s="176" t="s">
        <v>343</v>
      </c>
      <c r="F314" s="176"/>
      <c r="G314" s="176" t="s">
        <v>324</v>
      </c>
      <c r="H314" s="178" t="s">
        <v>325</v>
      </c>
      <c r="I314" s="175" t="s">
        <v>231</v>
      </c>
      <c r="J314" s="179" t="s">
        <v>352</v>
      </c>
      <c r="K314" s="179"/>
      <c r="L314" s="176" t="s">
        <v>359</v>
      </c>
      <c r="M314" s="180">
        <f t="shared" si="19"/>
        <v>685220.8559534883</v>
      </c>
      <c r="N314" s="181">
        <v>0</v>
      </c>
      <c r="O314" s="181">
        <v>0</v>
      </c>
      <c r="P314" s="181">
        <v>0</v>
      </c>
      <c r="Q314" s="181">
        <v>0</v>
      </c>
      <c r="R314" s="181">
        <v>0</v>
      </c>
      <c r="S314" s="182">
        <f t="shared" si="18"/>
        <v>685220.8559534883</v>
      </c>
      <c r="T314" s="183"/>
    </row>
    <row r="315" spans="1:20" ht="11.25">
      <c r="A315" s="175" t="s">
        <v>280</v>
      </c>
      <c r="B315" s="175">
        <v>14</v>
      </c>
      <c r="C315" s="176" t="s">
        <v>341</v>
      </c>
      <c r="D315" s="176" t="s">
        <v>342</v>
      </c>
      <c r="E315" s="176" t="s">
        <v>343</v>
      </c>
      <c r="F315" s="176"/>
      <c r="G315" s="176" t="s">
        <v>324</v>
      </c>
      <c r="H315" s="178" t="s">
        <v>325</v>
      </c>
      <c r="I315" s="175" t="s">
        <v>231</v>
      </c>
      <c r="J315" s="179" t="s">
        <v>352</v>
      </c>
      <c r="K315" s="179"/>
      <c r="L315" s="176" t="s">
        <v>359</v>
      </c>
      <c r="M315" s="180">
        <f t="shared" si="19"/>
        <v>702351.3773523254</v>
      </c>
      <c r="N315" s="181">
        <v>0</v>
      </c>
      <c r="O315" s="181">
        <v>0</v>
      </c>
      <c r="P315" s="181">
        <v>0</v>
      </c>
      <c r="Q315" s="181">
        <v>0</v>
      </c>
      <c r="R315" s="181">
        <v>0</v>
      </c>
      <c r="S315" s="182">
        <f t="shared" si="18"/>
        <v>702351.3773523254</v>
      </c>
      <c r="T315" s="183"/>
    </row>
    <row r="316" spans="1:20" ht="11.25">
      <c r="A316" s="175" t="s">
        <v>281</v>
      </c>
      <c r="B316" s="175">
        <v>15</v>
      </c>
      <c r="C316" s="176" t="s">
        <v>341</v>
      </c>
      <c r="D316" s="176" t="s">
        <v>342</v>
      </c>
      <c r="E316" s="176" t="s">
        <v>343</v>
      </c>
      <c r="F316" s="176"/>
      <c r="G316" s="176" t="s">
        <v>324</v>
      </c>
      <c r="H316" s="178" t="s">
        <v>325</v>
      </c>
      <c r="I316" s="175" t="s">
        <v>231</v>
      </c>
      <c r="J316" s="179" t="s">
        <v>352</v>
      </c>
      <c r="K316" s="179"/>
      <c r="L316" s="176" t="s">
        <v>359</v>
      </c>
      <c r="M316" s="180">
        <f t="shared" si="19"/>
        <v>719910.1617861334</v>
      </c>
      <c r="N316" s="181">
        <v>0</v>
      </c>
      <c r="O316" s="181">
        <v>0</v>
      </c>
      <c r="P316" s="181">
        <v>0</v>
      </c>
      <c r="Q316" s="181">
        <v>0</v>
      </c>
      <c r="R316" s="181">
        <v>0</v>
      </c>
      <c r="S316" s="182">
        <f t="shared" si="18"/>
        <v>719910.1617861334</v>
      </c>
      <c r="T316" s="183"/>
    </row>
    <row r="317" spans="1:20" ht="11.25">
      <c r="A317" s="175" t="s">
        <v>282</v>
      </c>
      <c r="B317" s="175">
        <v>16</v>
      </c>
      <c r="C317" s="176" t="s">
        <v>341</v>
      </c>
      <c r="D317" s="176" t="s">
        <v>342</v>
      </c>
      <c r="E317" s="176" t="s">
        <v>343</v>
      </c>
      <c r="F317" s="176"/>
      <c r="G317" s="176" t="s">
        <v>324</v>
      </c>
      <c r="H317" s="178" t="s">
        <v>325</v>
      </c>
      <c r="I317" s="175" t="s">
        <v>231</v>
      </c>
      <c r="J317" s="179" t="s">
        <v>352</v>
      </c>
      <c r="K317" s="179"/>
      <c r="L317" s="176" t="s">
        <v>359</v>
      </c>
      <c r="M317" s="180">
        <f t="shared" si="19"/>
        <v>737907.9158307867</v>
      </c>
      <c r="N317" s="181">
        <v>0</v>
      </c>
      <c r="O317" s="181">
        <v>0</v>
      </c>
      <c r="P317" s="181">
        <v>0</v>
      </c>
      <c r="Q317" s="181">
        <v>0</v>
      </c>
      <c r="R317" s="181">
        <v>0</v>
      </c>
      <c r="S317" s="182">
        <f t="shared" si="18"/>
        <v>737907.9158307867</v>
      </c>
      <c r="T317" s="183"/>
    </row>
    <row r="318" spans="1:20" ht="11.25">
      <c r="A318" s="175" t="s">
        <v>283</v>
      </c>
      <c r="B318" s="175">
        <v>17</v>
      </c>
      <c r="C318" s="176" t="s">
        <v>341</v>
      </c>
      <c r="D318" s="176" t="s">
        <v>342</v>
      </c>
      <c r="E318" s="176" t="s">
        <v>343</v>
      </c>
      <c r="F318" s="176"/>
      <c r="G318" s="176" t="s">
        <v>324</v>
      </c>
      <c r="H318" s="178" t="s">
        <v>325</v>
      </c>
      <c r="I318" s="175" t="s">
        <v>231</v>
      </c>
      <c r="J318" s="179" t="s">
        <v>352</v>
      </c>
      <c r="K318" s="179"/>
      <c r="L318" s="176" t="s">
        <v>359</v>
      </c>
      <c r="M318" s="180">
        <f t="shared" si="19"/>
        <v>756355.6137265563</v>
      </c>
      <c r="N318" s="181">
        <v>0</v>
      </c>
      <c r="O318" s="181">
        <v>0</v>
      </c>
      <c r="P318" s="181">
        <v>0</v>
      </c>
      <c r="Q318" s="181">
        <v>0</v>
      </c>
      <c r="R318" s="181">
        <v>0</v>
      </c>
      <c r="S318" s="182">
        <f t="shared" si="18"/>
        <v>756355.6137265563</v>
      </c>
      <c r="T318" s="183"/>
    </row>
    <row r="319" spans="1:20" ht="11.25">
      <c r="A319" s="175" t="s">
        <v>284</v>
      </c>
      <c r="B319" s="175">
        <v>18</v>
      </c>
      <c r="C319" s="176" t="s">
        <v>341</v>
      </c>
      <c r="D319" s="176" t="s">
        <v>342</v>
      </c>
      <c r="E319" s="176" t="s">
        <v>343</v>
      </c>
      <c r="F319" s="176"/>
      <c r="G319" s="176" t="s">
        <v>324</v>
      </c>
      <c r="H319" s="178" t="s">
        <v>325</v>
      </c>
      <c r="I319" s="175" t="s">
        <v>231</v>
      </c>
      <c r="J319" s="179" t="s">
        <v>352</v>
      </c>
      <c r="K319" s="179"/>
      <c r="L319" s="176" t="s">
        <v>359</v>
      </c>
      <c r="M319" s="180">
        <f t="shared" si="19"/>
        <v>775264.5040697202</v>
      </c>
      <c r="N319" s="181">
        <v>0</v>
      </c>
      <c r="O319" s="181">
        <v>0</v>
      </c>
      <c r="P319" s="181">
        <v>0</v>
      </c>
      <c r="Q319" s="181">
        <v>0</v>
      </c>
      <c r="R319" s="181">
        <v>0</v>
      </c>
      <c r="S319" s="182">
        <f t="shared" si="18"/>
        <v>775264.5040697202</v>
      </c>
      <c r="T319" s="183"/>
    </row>
    <row r="320" spans="1:20" ht="11.25">
      <c r="A320" s="175" t="s">
        <v>285</v>
      </c>
      <c r="B320" s="175">
        <v>19</v>
      </c>
      <c r="C320" s="176" t="s">
        <v>341</v>
      </c>
      <c r="D320" s="176" t="s">
        <v>342</v>
      </c>
      <c r="E320" s="176" t="s">
        <v>343</v>
      </c>
      <c r="F320" s="176"/>
      <c r="G320" s="176" t="s">
        <v>324</v>
      </c>
      <c r="H320" s="178" t="s">
        <v>325</v>
      </c>
      <c r="I320" s="175" t="s">
        <v>231</v>
      </c>
      <c r="J320" s="179" t="s">
        <v>352</v>
      </c>
      <c r="K320" s="179"/>
      <c r="L320" s="176" t="s">
        <v>359</v>
      </c>
      <c r="M320" s="180">
        <f t="shared" si="19"/>
        <v>794646.1166714631</v>
      </c>
      <c r="N320" s="181">
        <v>0</v>
      </c>
      <c r="O320" s="181">
        <v>0</v>
      </c>
      <c r="P320" s="181">
        <v>0</v>
      </c>
      <c r="Q320" s="181">
        <v>0</v>
      </c>
      <c r="R320" s="181">
        <v>0</v>
      </c>
      <c r="S320" s="182">
        <f t="shared" si="18"/>
        <v>794646.1166714631</v>
      </c>
      <c r="T320" s="183"/>
    </row>
    <row r="321" spans="1:20" ht="11.25">
      <c r="A321" s="175" t="s">
        <v>303</v>
      </c>
      <c r="B321" s="175">
        <v>20</v>
      </c>
      <c r="C321" s="176" t="s">
        <v>341</v>
      </c>
      <c r="D321" s="176" t="s">
        <v>342</v>
      </c>
      <c r="E321" s="176" t="s">
        <v>343</v>
      </c>
      <c r="F321" s="176"/>
      <c r="G321" s="176" t="s">
        <v>324</v>
      </c>
      <c r="H321" s="178" t="s">
        <v>325</v>
      </c>
      <c r="I321" s="175" t="s">
        <v>231</v>
      </c>
      <c r="J321" s="179" t="s">
        <v>352</v>
      </c>
      <c r="K321" s="179"/>
      <c r="L321" s="176" t="s">
        <v>359</v>
      </c>
      <c r="M321" s="180">
        <f t="shared" si="19"/>
        <v>814512.2695882496</v>
      </c>
      <c r="N321" s="181">
        <v>0</v>
      </c>
      <c r="O321" s="181">
        <v>0</v>
      </c>
      <c r="P321" s="181">
        <v>0</v>
      </c>
      <c r="Q321" s="181">
        <v>0</v>
      </c>
      <c r="R321" s="181">
        <v>0</v>
      </c>
      <c r="S321" s="182">
        <f t="shared" si="18"/>
        <v>814512.2695882496</v>
      </c>
      <c r="T321" s="183"/>
    </row>
    <row r="322" spans="1:20" ht="11.25">
      <c r="A322" s="175" t="s">
        <v>265</v>
      </c>
      <c r="B322" s="175">
        <v>0</v>
      </c>
      <c r="C322" s="176" t="s">
        <v>341</v>
      </c>
      <c r="D322" s="176" t="s">
        <v>342</v>
      </c>
      <c r="E322" s="176" t="s">
        <v>343</v>
      </c>
      <c r="F322" s="176"/>
      <c r="G322" s="176" t="s">
        <v>360</v>
      </c>
      <c r="H322" s="178" t="s">
        <v>325</v>
      </c>
      <c r="I322" s="175" t="s">
        <v>231</v>
      </c>
      <c r="J322" s="179" t="s">
        <v>326</v>
      </c>
      <c r="K322" s="179"/>
      <c r="L322" s="176" t="s">
        <v>361</v>
      </c>
      <c r="M322" s="180">
        <v>795675</v>
      </c>
      <c r="N322" s="181">
        <v>0</v>
      </c>
      <c r="O322" s="181">
        <v>0</v>
      </c>
      <c r="P322" s="181">
        <v>0</v>
      </c>
      <c r="Q322" s="181">
        <v>0</v>
      </c>
      <c r="R322" s="181">
        <v>0</v>
      </c>
      <c r="S322" s="182">
        <f t="shared" si="18"/>
        <v>795675</v>
      </c>
      <c r="T322" s="183"/>
    </row>
    <row r="323" spans="1:20" ht="11.25">
      <c r="A323" s="175" t="s">
        <v>267</v>
      </c>
      <c r="B323" s="175">
        <v>1</v>
      </c>
      <c r="C323" s="176" t="s">
        <v>341</v>
      </c>
      <c r="D323" s="176" t="s">
        <v>342</v>
      </c>
      <c r="E323" s="176" t="s">
        <v>343</v>
      </c>
      <c r="F323" s="176"/>
      <c r="G323" s="176" t="s">
        <v>360</v>
      </c>
      <c r="H323" s="178" t="s">
        <v>325</v>
      </c>
      <c r="I323" s="175" t="s">
        <v>231</v>
      </c>
      <c r="J323" s="179" t="s">
        <v>352</v>
      </c>
      <c r="K323" s="179"/>
      <c r="L323" s="176" t="s">
        <v>361</v>
      </c>
      <c r="M323" s="180">
        <v>800000</v>
      </c>
      <c r="N323" s="181">
        <v>0</v>
      </c>
      <c r="O323" s="181">
        <v>0</v>
      </c>
      <c r="P323" s="181">
        <v>0</v>
      </c>
      <c r="Q323" s="181">
        <v>0</v>
      </c>
      <c r="R323" s="181">
        <v>0</v>
      </c>
      <c r="S323" s="182">
        <f t="shared" si="18"/>
        <v>800000</v>
      </c>
      <c r="T323" s="183"/>
    </row>
    <row r="324" spans="1:20" ht="11.25">
      <c r="A324" s="175" t="s">
        <v>268</v>
      </c>
      <c r="B324" s="175">
        <v>2</v>
      </c>
      <c r="C324" s="176" t="s">
        <v>341</v>
      </c>
      <c r="D324" s="176" t="s">
        <v>342</v>
      </c>
      <c r="E324" s="176" t="s">
        <v>343</v>
      </c>
      <c r="F324" s="176"/>
      <c r="G324" s="176" t="s">
        <v>360</v>
      </c>
      <c r="H324" s="178" t="s">
        <v>325</v>
      </c>
      <c r="I324" s="175" t="s">
        <v>231</v>
      </c>
      <c r="J324" s="179" t="s">
        <v>352</v>
      </c>
      <c r="K324" s="179"/>
      <c r="L324" s="176" t="s">
        <v>361</v>
      </c>
      <c r="M324" s="180">
        <f aca="true" t="shared" si="20" ref="M324:M342">IF(J324="Y",M323*(1+$C$4),IF(J324="I",M323*(1+$E$4),M323))</f>
        <v>819999.9999999999</v>
      </c>
      <c r="N324" s="181">
        <v>0</v>
      </c>
      <c r="O324" s="181">
        <v>0</v>
      </c>
      <c r="P324" s="181">
        <v>0</v>
      </c>
      <c r="Q324" s="181">
        <v>0</v>
      </c>
      <c r="R324" s="181">
        <v>0</v>
      </c>
      <c r="S324" s="182">
        <f t="shared" si="18"/>
        <v>819999.9999999999</v>
      </c>
      <c r="T324" s="183"/>
    </row>
    <row r="325" spans="1:20" ht="11.25">
      <c r="A325" s="175" t="s">
        <v>269</v>
      </c>
      <c r="B325" s="175">
        <v>3</v>
      </c>
      <c r="C325" s="176" t="s">
        <v>341</v>
      </c>
      <c r="D325" s="176" t="s">
        <v>342</v>
      </c>
      <c r="E325" s="176" t="s">
        <v>343</v>
      </c>
      <c r="F325" s="176"/>
      <c r="G325" s="176" t="s">
        <v>360</v>
      </c>
      <c r="H325" s="178" t="s">
        <v>325</v>
      </c>
      <c r="I325" s="175" t="s">
        <v>231</v>
      </c>
      <c r="J325" s="179" t="s">
        <v>352</v>
      </c>
      <c r="K325" s="179"/>
      <c r="L325" s="176" t="s">
        <v>361</v>
      </c>
      <c r="M325" s="180">
        <f t="shared" si="20"/>
        <v>840499.9999999998</v>
      </c>
      <c r="N325" s="181">
        <v>0</v>
      </c>
      <c r="O325" s="181">
        <v>0</v>
      </c>
      <c r="P325" s="181">
        <v>0</v>
      </c>
      <c r="Q325" s="181">
        <v>0</v>
      </c>
      <c r="R325" s="181">
        <v>0</v>
      </c>
      <c r="S325" s="182">
        <f t="shared" si="18"/>
        <v>840499.9999999998</v>
      </c>
      <c r="T325" s="183"/>
    </row>
    <row r="326" spans="1:20" ht="11.25">
      <c r="A326" s="175" t="s">
        <v>270</v>
      </c>
      <c r="B326" s="175">
        <v>4</v>
      </c>
      <c r="C326" s="176" t="s">
        <v>341</v>
      </c>
      <c r="D326" s="176" t="s">
        <v>342</v>
      </c>
      <c r="E326" s="176" t="s">
        <v>343</v>
      </c>
      <c r="F326" s="176"/>
      <c r="G326" s="176" t="s">
        <v>360</v>
      </c>
      <c r="H326" s="178" t="s">
        <v>325</v>
      </c>
      <c r="I326" s="175" t="s">
        <v>231</v>
      </c>
      <c r="J326" s="179" t="s">
        <v>352</v>
      </c>
      <c r="K326" s="179"/>
      <c r="L326" s="176" t="s">
        <v>361</v>
      </c>
      <c r="M326" s="180">
        <f t="shared" si="20"/>
        <v>861512.4999999997</v>
      </c>
      <c r="N326" s="181">
        <v>0</v>
      </c>
      <c r="O326" s="181">
        <v>0</v>
      </c>
      <c r="P326" s="181">
        <v>0</v>
      </c>
      <c r="Q326" s="181">
        <v>0</v>
      </c>
      <c r="R326" s="181">
        <v>0</v>
      </c>
      <c r="S326" s="182">
        <f t="shared" si="18"/>
        <v>861512.4999999997</v>
      </c>
      <c r="T326" s="183"/>
    </row>
    <row r="327" spans="1:20" ht="11.25">
      <c r="A327" s="175" t="s">
        <v>271</v>
      </c>
      <c r="B327" s="175">
        <v>5</v>
      </c>
      <c r="C327" s="176" t="s">
        <v>341</v>
      </c>
      <c r="D327" s="176" t="s">
        <v>342</v>
      </c>
      <c r="E327" s="176" t="s">
        <v>343</v>
      </c>
      <c r="F327" s="176"/>
      <c r="G327" s="176" t="s">
        <v>360</v>
      </c>
      <c r="H327" s="178" t="s">
        <v>325</v>
      </c>
      <c r="I327" s="175" t="s">
        <v>231</v>
      </c>
      <c r="J327" s="179" t="s">
        <v>352</v>
      </c>
      <c r="K327" s="179"/>
      <c r="L327" s="176" t="s">
        <v>361</v>
      </c>
      <c r="M327" s="180">
        <f t="shared" si="20"/>
        <v>883050.3124999995</v>
      </c>
      <c r="N327" s="181">
        <v>0</v>
      </c>
      <c r="O327" s="181">
        <v>0</v>
      </c>
      <c r="P327" s="181">
        <v>0</v>
      </c>
      <c r="Q327" s="181">
        <v>0</v>
      </c>
      <c r="R327" s="181">
        <v>0</v>
      </c>
      <c r="S327" s="182">
        <f aca="true" t="shared" si="21" ref="S327:S410">M327-SUM(N327:R327)</f>
        <v>883050.3124999995</v>
      </c>
      <c r="T327" s="183"/>
    </row>
    <row r="328" spans="1:20" ht="11.25">
      <c r="A328" s="175" t="s">
        <v>272</v>
      </c>
      <c r="B328" s="175">
        <v>6</v>
      </c>
      <c r="C328" s="176" t="s">
        <v>341</v>
      </c>
      <c r="D328" s="176" t="s">
        <v>342</v>
      </c>
      <c r="E328" s="176" t="s">
        <v>343</v>
      </c>
      <c r="F328" s="176"/>
      <c r="G328" s="176" t="s">
        <v>360</v>
      </c>
      <c r="H328" s="178" t="s">
        <v>325</v>
      </c>
      <c r="I328" s="175" t="s">
        <v>231</v>
      </c>
      <c r="J328" s="179" t="s">
        <v>352</v>
      </c>
      <c r="K328" s="179"/>
      <c r="L328" s="176" t="s">
        <v>361</v>
      </c>
      <c r="M328" s="180">
        <f t="shared" si="20"/>
        <v>905126.5703124994</v>
      </c>
      <c r="N328" s="181">
        <v>0</v>
      </c>
      <c r="O328" s="181">
        <v>0</v>
      </c>
      <c r="P328" s="181">
        <v>0</v>
      </c>
      <c r="Q328" s="181">
        <v>0</v>
      </c>
      <c r="R328" s="181">
        <v>0</v>
      </c>
      <c r="S328" s="182">
        <f t="shared" si="21"/>
        <v>905126.5703124994</v>
      </c>
      <c r="T328" s="183"/>
    </row>
    <row r="329" spans="1:20" ht="11.25">
      <c r="A329" s="175" t="s">
        <v>273</v>
      </c>
      <c r="B329" s="175">
        <v>7</v>
      </c>
      <c r="C329" s="176" t="s">
        <v>341</v>
      </c>
      <c r="D329" s="176" t="s">
        <v>342</v>
      </c>
      <c r="E329" s="176" t="s">
        <v>343</v>
      </c>
      <c r="F329" s="176"/>
      <c r="G329" s="176" t="s">
        <v>360</v>
      </c>
      <c r="H329" s="178" t="s">
        <v>325</v>
      </c>
      <c r="I329" s="175" t="s">
        <v>231</v>
      </c>
      <c r="J329" s="179" t="s">
        <v>352</v>
      </c>
      <c r="K329" s="179"/>
      <c r="L329" s="176" t="s">
        <v>361</v>
      </c>
      <c r="M329" s="180">
        <f t="shared" si="20"/>
        <v>927754.7345703118</v>
      </c>
      <c r="N329" s="181">
        <v>0</v>
      </c>
      <c r="O329" s="181">
        <v>0</v>
      </c>
      <c r="P329" s="181">
        <v>0</v>
      </c>
      <c r="Q329" s="181">
        <v>0</v>
      </c>
      <c r="R329" s="181">
        <v>0</v>
      </c>
      <c r="S329" s="182">
        <f t="shared" si="21"/>
        <v>927754.7345703118</v>
      </c>
      <c r="T329" s="183"/>
    </row>
    <row r="330" spans="1:20" ht="11.25">
      <c r="A330" s="175" t="s">
        <v>274</v>
      </c>
      <c r="B330" s="175">
        <v>8</v>
      </c>
      <c r="C330" s="176" t="s">
        <v>341</v>
      </c>
      <c r="D330" s="176" t="s">
        <v>342</v>
      </c>
      <c r="E330" s="176" t="s">
        <v>343</v>
      </c>
      <c r="F330" s="176"/>
      <c r="G330" s="176" t="s">
        <v>360</v>
      </c>
      <c r="H330" s="178" t="s">
        <v>325</v>
      </c>
      <c r="I330" s="175" t="s">
        <v>231</v>
      </c>
      <c r="J330" s="179" t="s">
        <v>352</v>
      </c>
      <c r="K330" s="179"/>
      <c r="L330" s="176" t="s">
        <v>361</v>
      </c>
      <c r="M330" s="180">
        <f t="shared" si="20"/>
        <v>950948.6029345696</v>
      </c>
      <c r="N330" s="181">
        <v>0</v>
      </c>
      <c r="O330" s="181">
        <v>0</v>
      </c>
      <c r="P330" s="181">
        <v>0</v>
      </c>
      <c r="Q330" s="181">
        <v>0</v>
      </c>
      <c r="R330" s="181">
        <v>0</v>
      </c>
      <c r="S330" s="182">
        <f t="shared" si="21"/>
        <v>950948.6029345696</v>
      </c>
      <c r="T330" s="183"/>
    </row>
    <row r="331" spans="1:20" ht="11.25">
      <c r="A331" s="175" t="s">
        <v>275</v>
      </c>
      <c r="B331" s="175">
        <v>9</v>
      </c>
      <c r="C331" s="176" t="s">
        <v>341</v>
      </c>
      <c r="D331" s="176" t="s">
        <v>342</v>
      </c>
      <c r="E331" s="176" t="s">
        <v>343</v>
      </c>
      <c r="F331" s="176"/>
      <c r="G331" s="176" t="s">
        <v>360</v>
      </c>
      <c r="H331" s="178" t="s">
        <v>325</v>
      </c>
      <c r="I331" s="175" t="s">
        <v>231</v>
      </c>
      <c r="J331" s="179" t="s">
        <v>352</v>
      </c>
      <c r="K331" s="179"/>
      <c r="L331" s="176" t="s">
        <v>361</v>
      </c>
      <c r="M331" s="180">
        <f t="shared" si="20"/>
        <v>974722.3180079338</v>
      </c>
      <c r="N331" s="181">
        <v>0</v>
      </c>
      <c r="O331" s="181">
        <v>0</v>
      </c>
      <c r="P331" s="181">
        <v>0</v>
      </c>
      <c r="Q331" s="181">
        <v>0</v>
      </c>
      <c r="R331" s="181">
        <v>0</v>
      </c>
      <c r="S331" s="182">
        <f t="shared" si="21"/>
        <v>974722.3180079338</v>
      </c>
      <c r="T331" s="183"/>
    </row>
    <row r="332" spans="1:20" ht="11.25">
      <c r="A332" s="175" t="s">
        <v>276</v>
      </c>
      <c r="B332" s="175">
        <v>10</v>
      </c>
      <c r="C332" s="176" t="s">
        <v>341</v>
      </c>
      <c r="D332" s="176" t="s">
        <v>342</v>
      </c>
      <c r="E332" s="176" t="s">
        <v>343</v>
      </c>
      <c r="F332" s="176"/>
      <c r="G332" s="176" t="s">
        <v>360</v>
      </c>
      <c r="H332" s="178" t="s">
        <v>325</v>
      </c>
      <c r="I332" s="175" t="s">
        <v>231</v>
      </c>
      <c r="J332" s="179" t="s">
        <v>352</v>
      </c>
      <c r="K332" s="179"/>
      <c r="L332" s="176" t="s">
        <v>361</v>
      </c>
      <c r="M332" s="180">
        <f t="shared" si="20"/>
        <v>999090.3759581321</v>
      </c>
      <c r="N332" s="181">
        <v>0</v>
      </c>
      <c r="O332" s="181">
        <v>0</v>
      </c>
      <c r="P332" s="181">
        <v>0</v>
      </c>
      <c r="Q332" s="181">
        <v>0</v>
      </c>
      <c r="R332" s="181">
        <v>0</v>
      </c>
      <c r="S332" s="182">
        <f t="shared" si="21"/>
        <v>999090.3759581321</v>
      </c>
      <c r="T332" s="183"/>
    </row>
    <row r="333" spans="1:20" ht="11.25">
      <c r="A333" s="175" t="s">
        <v>277</v>
      </c>
      <c r="B333" s="175">
        <v>11</v>
      </c>
      <c r="C333" s="176" t="s">
        <v>341</v>
      </c>
      <c r="D333" s="176" t="s">
        <v>342</v>
      </c>
      <c r="E333" s="176" t="s">
        <v>343</v>
      </c>
      <c r="F333" s="176"/>
      <c r="G333" s="176" t="s">
        <v>360</v>
      </c>
      <c r="H333" s="178" t="s">
        <v>325</v>
      </c>
      <c r="I333" s="175" t="s">
        <v>231</v>
      </c>
      <c r="J333" s="179" t="s">
        <v>352</v>
      </c>
      <c r="K333" s="179"/>
      <c r="L333" s="176" t="s">
        <v>361</v>
      </c>
      <c r="M333" s="180">
        <f t="shared" si="20"/>
        <v>1024067.6353570853</v>
      </c>
      <c r="N333" s="181">
        <v>0</v>
      </c>
      <c r="O333" s="181">
        <v>0</v>
      </c>
      <c r="P333" s="181">
        <v>0</v>
      </c>
      <c r="Q333" s="181">
        <v>0</v>
      </c>
      <c r="R333" s="181">
        <v>0</v>
      </c>
      <c r="S333" s="182">
        <f t="shared" si="21"/>
        <v>1024067.6353570853</v>
      </c>
      <c r="T333" s="183"/>
    </row>
    <row r="334" spans="1:20" ht="11.25">
      <c r="A334" s="175" t="s">
        <v>278</v>
      </c>
      <c r="B334" s="175">
        <v>12</v>
      </c>
      <c r="C334" s="176" t="s">
        <v>341</v>
      </c>
      <c r="D334" s="176" t="s">
        <v>342</v>
      </c>
      <c r="E334" s="176" t="s">
        <v>343</v>
      </c>
      <c r="F334" s="176"/>
      <c r="G334" s="176" t="s">
        <v>360</v>
      </c>
      <c r="H334" s="178" t="s">
        <v>325</v>
      </c>
      <c r="I334" s="175" t="s">
        <v>231</v>
      </c>
      <c r="J334" s="179" t="s">
        <v>352</v>
      </c>
      <c r="K334" s="179"/>
      <c r="L334" s="176" t="s">
        <v>361</v>
      </c>
      <c r="M334" s="180">
        <f t="shared" si="20"/>
        <v>1049669.3262410122</v>
      </c>
      <c r="N334" s="181">
        <v>0</v>
      </c>
      <c r="O334" s="181">
        <v>0</v>
      </c>
      <c r="P334" s="181">
        <v>0</v>
      </c>
      <c r="Q334" s="181">
        <v>0</v>
      </c>
      <c r="R334" s="181">
        <v>0</v>
      </c>
      <c r="S334" s="182">
        <f t="shared" si="21"/>
        <v>1049669.3262410122</v>
      </c>
      <c r="T334" s="183"/>
    </row>
    <row r="335" spans="1:20" ht="11.25">
      <c r="A335" s="175" t="s">
        <v>279</v>
      </c>
      <c r="B335" s="175">
        <v>13</v>
      </c>
      <c r="C335" s="176" t="s">
        <v>341</v>
      </c>
      <c r="D335" s="176" t="s">
        <v>342</v>
      </c>
      <c r="E335" s="176" t="s">
        <v>343</v>
      </c>
      <c r="F335" s="176"/>
      <c r="G335" s="176" t="s">
        <v>360</v>
      </c>
      <c r="H335" s="178" t="s">
        <v>325</v>
      </c>
      <c r="I335" s="175" t="s">
        <v>231</v>
      </c>
      <c r="J335" s="179" t="s">
        <v>352</v>
      </c>
      <c r="K335" s="179"/>
      <c r="L335" s="176" t="s">
        <v>361</v>
      </c>
      <c r="M335" s="180">
        <f t="shared" si="20"/>
        <v>1075911.0593970374</v>
      </c>
      <c r="N335" s="181">
        <v>0</v>
      </c>
      <c r="O335" s="181">
        <v>0</v>
      </c>
      <c r="P335" s="181">
        <v>0</v>
      </c>
      <c r="Q335" s="181">
        <v>0</v>
      </c>
      <c r="R335" s="181">
        <v>0</v>
      </c>
      <c r="S335" s="182">
        <f t="shared" si="21"/>
        <v>1075911.0593970374</v>
      </c>
      <c r="T335" s="183"/>
    </row>
    <row r="336" spans="1:20" ht="11.25">
      <c r="A336" s="175" t="s">
        <v>280</v>
      </c>
      <c r="B336" s="175">
        <v>14</v>
      </c>
      <c r="C336" s="176" t="s">
        <v>341</v>
      </c>
      <c r="D336" s="176" t="s">
        <v>342</v>
      </c>
      <c r="E336" s="176" t="s">
        <v>343</v>
      </c>
      <c r="F336" s="176"/>
      <c r="G336" s="176" t="s">
        <v>360</v>
      </c>
      <c r="H336" s="178" t="s">
        <v>325</v>
      </c>
      <c r="I336" s="175" t="s">
        <v>231</v>
      </c>
      <c r="J336" s="179" t="s">
        <v>352</v>
      </c>
      <c r="K336" s="179"/>
      <c r="L336" s="176" t="s">
        <v>361</v>
      </c>
      <c r="M336" s="180">
        <f t="shared" si="20"/>
        <v>1102808.8358819631</v>
      </c>
      <c r="N336" s="181">
        <v>0</v>
      </c>
      <c r="O336" s="181">
        <v>0</v>
      </c>
      <c r="P336" s="181">
        <v>0</v>
      </c>
      <c r="Q336" s="181">
        <v>0</v>
      </c>
      <c r="R336" s="181">
        <v>0</v>
      </c>
      <c r="S336" s="182">
        <f t="shared" si="21"/>
        <v>1102808.8358819631</v>
      </c>
      <c r="T336" s="183"/>
    </row>
    <row r="337" spans="1:20" ht="11.25">
      <c r="A337" s="175" t="s">
        <v>281</v>
      </c>
      <c r="B337" s="175">
        <v>15</v>
      </c>
      <c r="C337" s="176" t="s">
        <v>341</v>
      </c>
      <c r="D337" s="176" t="s">
        <v>342</v>
      </c>
      <c r="E337" s="176" t="s">
        <v>343</v>
      </c>
      <c r="F337" s="176"/>
      <c r="G337" s="176" t="s">
        <v>360</v>
      </c>
      <c r="H337" s="178" t="s">
        <v>325</v>
      </c>
      <c r="I337" s="175" t="s">
        <v>231</v>
      </c>
      <c r="J337" s="179" t="s">
        <v>352</v>
      </c>
      <c r="K337" s="179"/>
      <c r="L337" s="176" t="s">
        <v>361</v>
      </c>
      <c r="M337" s="180">
        <f t="shared" si="20"/>
        <v>1130379.056779012</v>
      </c>
      <c r="N337" s="181">
        <v>0</v>
      </c>
      <c r="O337" s="181">
        <v>0</v>
      </c>
      <c r="P337" s="181">
        <v>0</v>
      </c>
      <c r="Q337" s="181">
        <v>0</v>
      </c>
      <c r="R337" s="181">
        <v>0</v>
      </c>
      <c r="S337" s="182">
        <f t="shared" si="21"/>
        <v>1130379.056779012</v>
      </c>
      <c r="T337" s="183"/>
    </row>
    <row r="338" spans="1:20" ht="11.25">
      <c r="A338" s="175" t="s">
        <v>282</v>
      </c>
      <c r="B338" s="175">
        <v>16</v>
      </c>
      <c r="C338" s="176" t="s">
        <v>341</v>
      </c>
      <c r="D338" s="176" t="s">
        <v>342</v>
      </c>
      <c r="E338" s="176" t="s">
        <v>343</v>
      </c>
      <c r="F338" s="176"/>
      <c r="G338" s="176" t="s">
        <v>360</v>
      </c>
      <c r="H338" s="178" t="s">
        <v>325</v>
      </c>
      <c r="I338" s="175" t="s">
        <v>231</v>
      </c>
      <c r="J338" s="179" t="s">
        <v>352</v>
      </c>
      <c r="K338" s="179"/>
      <c r="L338" s="176" t="s">
        <v>361</v>
      </c>
      <c r="M338" s="180">
        <f t="shared" si="20"/>
        <v>1158638.5331984872</v>
      </c>
      <c r="N338" s="181">
        <v>0</v>
      </c>
      <c r="O338" s="181">
        <v>0</v>
      </c>
      <c r="P338" s="181">
        <v>0</v>
      </c>
      <c r="Q338" s="181">
        <v>0</v>
      </c>
      <c r="R338" s="181">
        <v>0</v>
      </c>
      <c r="S338" s="182">
        <f t="shared" si="21"/>
        <v>1158638.5331984872</v>
      </c>
      <c r="T338" s="183"/>
    </row>
    <row r="339" spans="1:20" ht="11.25">
      <c r="A339" s="175" t="s">
        <v>283</v>
      </c>
      <c r="B339" s="175">
        <v>17</v>
      </c>
      <c r="C339" s="176" t="s">
        <v>341</v>
      </c>
      <c r="D339" s="176" t="s">
        <v>342</v>
      </c>
      <c r="E339" s="176" t="s">
        <v>343</v>
      </c>
      <c r="F339" s="176"/>
      <c r="G339" s="176" t="s">
        <v>360</v>
      </c>
      <c r="H339" s="178" t="s">
        <v>325</v>
      </c>
      <c r="I339" s="175" t="s">
        <v>231</v>
      </c>
      <c r="J339" s="179" t="s">
        <v>352</v>
      </c>
      <c r="K339" s="179"/>
      <c r="L339" s="176" t="s">
        <v>361</v>
      </c>
      <c r="M339" s="180">
        <f t="shared" si="20"/>
        <v>1187604.4965284492</v>
      </c>
      <c r="N339" s="181">
        <v>0</v>
      </c>
      <c r="O339" s="181">
        <v>0</v>
      </c>
      <c r="P339" s="181">
        <v>0</v>
      </c>
      <c r="Q339" s="181">
        <v>0</v>
      </c>
      <c r="R339" s="181">
        <v>0</v>
      </c>
      <c r="S339" s="182">
        <f t="shared" si="21"/>
        <v>1187604.4965284492</v>
      </c>
      <c r="T339" s="183"/>
    </row>
    <row r="340" spans="1:20" ht="11.25">
      <c r="A340" s="175" t="s">
        <v>284</v>
      </c>
      <c r="B340" s="175">
        <v>18</v>
      </c>
      <c r="C340" s="176" t="s">
        <v>341</v>
      </c>
      <c r="D340" s="176" t="s">
        <v>342</v>
      </c>
      <c r="E340" s="176" t="s">
        <v>343</v>
      </c>
      <c r="F340" s="176"/>
      <c r="G340" s="176" t="s">
        <v>360</v>
      </c>
      <c r="H340" s="178" t="s">
        <v>325</v>
      </c>
      <c r="I340" s="175" t="s">
        <v>231</v>
      </c>
      <c r="J340" s="179" t="s">
        <v>352</v>
      </c>
      <c r="K340" s="179"/>
      <c r="L340" s="176" t="s">
        <v>361</v>
      </c>
      <c r="M340" s="180">
        <f t="shared" si="20"/>
        <v>1217294.6089416603</v>
      </c>
      <c r="N340" s="181">
        <v>0</v>
      </c>
      <c r="O340" s="181">
        <v>0</v>
      </c>
      <c r="P340" s="181">
        <v>0</v>
      </c>
      <c r="Q340" s="181">
        <v>0</v>
      </c>
      <c r="R340" s="181">
        <v>0</v>
      </c>
      <c r="S340" s="182">
        <f t="shared" si="21"/>
        <v>1217294.6089416603</v>
      </c>
      <c r="T340" s="183"/>
    </row>
    <row r="341" spans="1:20" ht="11.25">
      <c r="A341" s="175" t="s">
        <v>285</v>
      </c>
      <c r="B341" s="175">
        <v>19</v>
      </c>
      <c r="C341" s="176" t="s">
        <v>341</v>
      </c>
      <c r="D341" s="176" t="s">
        <v>342</v>
      </c>
      <c r="E341" s="176" t="s">
        <v>343</v>
      </c>
      <c r="F341" s="176"/>
      <c r="G341" s="176" t="s">
        <v>360</v>
      </c>
      <c r="H341" s="178" t="s">
        <v>325</v>
      </c>
      <c r="I341" s="175" t="s">
        <v>231</v>
      </c>
      <c r="J341" s="179" t="s">
        <v>352</v>
      </c>
      <c r="K341" s="179"/>
      <c r="L341" s="176" t="s">
        <v>361</v>
      </c>
      <c r="M341" s="180">
        <f t="shared" si="20"/>
        <v>1247726.9741652017</v>
      </c>
      <c r="N341" s="181">
        <v>0</v>
      </c>
      <c r="O341" s="181">
        <v>0</v>
      </c>
      <c r="P341" s="181">
        <v>0</v>
      </c>
      <c r="Q341" s="181">
        <v>0</v>
      </c>
      <c r="R341" s="181">
        <v>0</v>
      </c>
      <c r="S341" s="182">
        <f t="shared" si="21"/>
        <v>1247726.9741652017</v>
      </c>
      <c r="T341" s="183"/>
    </row>
    <row r="342" spans="1:20" ht="11.25">
      <c r="A342" s="175" t="s">
        <v>303</v>
      </c>
      <c r="B342" s="175">
        <v>20</v>
      </c>
      <c r="C342" s="176" t="s">
        <v>341</v>
      </c>
      <c r="D342" s="176" t="s">
        <v>342</v>
      </c>
      <c r="E342" s="176" t="s">
        <v>343</v>
      </c>
      <c r="F342" s="176"/>
      <c r="G342" s="176" t="s">
        <v>360</v>
      </c>
      <c r="H342" s="178" t="s">
        <v>325</v>
      </c>
      <c r="I342" s="175" t="s">
        <v>231</v>
      </c>
      <c r="J342" s="179" t="s">
        <v>352</v>
      </c>
      <c r="K342" s="179"/>
      <c r="L342" s="176" t="s">
        <v>361</v>
      </c>
      <c r="M342" s="180">
        <f t="shared" si="20"/>
        <v>1278920.1485193316</v>
      </c>
      <c r="N342" s="181">
        <v>0</v>
      </c>
      <c r="O342" s="181">
        <v>0</v>
      </c>
      <c r="P342" s="181">
        <v>0</v>
      </c>
      <c r="Q342" s="181">
        <v>0</v>
      </c>
      <c r="R342" s="181">
        <v>0</v>
      </c>
      <c r="S342" s="182">
        <f t="shared" si="21"/>
        <v>1278920.1485193316</v>
      </c>
      <c r="T342" s="183"/>
    </row>
    <row r="343" spans="1:20" ht="11.25">
      <c r="A343" s="175" t="s">
        <v>265</v>
      </c>
      <c r="B343" s="175">
        <v>0</v>
      </c>
      <c r="C343" s="176" t="s">
        <v>469</v>
      </c>
      <c r="D343" s="176" t="s">
        <v>331</v>
      </c>
      <c r="E343" s="176" t="s">
        <v>345</v>
      </c>
      <c r="F343" s="176"/>
      <c r="G343" s="176" t="s">
        <v>324</v>
      </c>
      <c r="H343" s="178" t="s">
        <v>325</v>
      </c>
      <c r="I343" s="175" t="s">
        <v>231</v>
      </c>
      <c r="J343" s="179" t="s">
        <v>326</v>
      </c>
      <c r="K343" s="179"/>
      <c r="L343" s="176" t="s">
        <v>362</v>
      </c>
      <c r="M343" s="180">
        <v>440000</v>
      </c>
      <c r="N343" s="181">
        <v>0</v>
      </c>
      <c r="O343" s="181">
        <v>0</v>
      </c>
      <c r="P343" s="181">
        <v>0</v>
      </c>
      <c r="Q343" s="181">
        <v>0</v>
      </c>
      <c r="R343" s="181">
        <v>0</v>
      </c>
      <c r="S343" s="182">
        <f t="shared" si="21"/>
        <v>440000</v>
      </c>
      <c r="T343" s="183"/>
    </row>
    <row r="344" spans="1:20" ht="11.25">
      <c r="A344" s="175" t="s">
        <v>267</v>
      </c>
      <c r="B344" s="175">
        <v>1</v>
      </c>
      <c r="C344" s="176" t="s">
        <v>469</v>
      </c>
      <c r="D344" s="176" t="s">
        <v>331</v>
      </c>
      <c r="E344" s="176" t="s">
        <v>345</v>
      </c>
      <c r="F344" s="176"/>
      <c r="G344" s="176" t="s">
        <v>324</v>
      </c>
      <c r="H344" s="178" t="s">
        <v>325</v>
      </c>
      <c r="I344" s="175" t="s">
        <v>231</v>
      </c>
      <c r="J344" s="179" t="s">
        <v>231</v>
      </c>
      <c r="K344" s="179"/>
      <c r="L344" s="176" t="s">
        <v>362</v>
      </c>
      <c r="M344" s="180">
        <f>IF(J344="Y",M343*(1+$F$4),IF(J344="I",M343*(1+$E$4),M343))</f>
        <v>457600</v>
      </c>
      <c r="N344" s="181">
        <v>0</v>
      </c>
      <c r="O344" s="181">
        <v>0</v>
      </c>
      <c r="P344" s="181">
        <v>0</v>
      </c>
      <c r="Q344" s="181">
        <v>0</v>
      </c>
      <c r="R344" s="181">
        <v>0</v>
      </c>
      <c r="S344" s="182">
        <f t="shared" si="21"/>
        <v>457600</v>
      </c>
      <c r="T344" s="183"/>
    </row>
    <row r="345" spans="1:20" ht="11.25">
      <c r="A345" s="175" t="s">
        <v>268</v>
      </c>
      <c r="B345" s="175">
        <v>2</v>
      </c>
      <c r="C345" s="176" t="s">
        <v>469</v>
      </c>
      <c r="D345" s="176" t="s">
        <v>331</v>
      </c>
      <c r="E345" s="176" t="s">
        <v>345</v>
      </c>
      <c r="F345" s="176"/>
      <c r="G345" s="176" t="s">
        <v>324</v>
      </c>
      <c r="H345" s="178" t="s">
        <v>325</v>
      </c>
      <c r="I345" s="175" t="s">
        <v>231</v>
      </c>
      <c r="J345" s="179" t="s">
        <v>231</v>
      </c>
      <c r="K345" s="179"/>
      <c r="L345" s="176" t="s">
        <v>362</v>
      </c>
      <c r="M345" s="180">
        <f aca="true" t="shared" si="22" ref="M345:M363">IF(J345="Y",M344*(1+$C$4),IF(J345="I",M344*(1+$E$4),M344))</f>
        <v>475904</v>
      </c>
      <c r="N345" s="181">
        <v>0</v>
      </c>
      <c r="O345" s="181">
        <v>0</v>
      </c>
      <c r="P345" s="181">
        <v>0</v>
      </c>
      <c r="Q345" s="181">
        <v>0</v>
      </c>
      <c r="R345" s="181">
        <v>0</v>
      </c>
      <c r="S345" s="182">
        <f t="shared" si="21"/>
        <v>475904</v>
      </c>
      <c r="T345" s="183"/>
    </row>
    <row r="346" spans="1:20" ht="11.25">
      <c r="A346" s="175" t="s">
        <v>269</v>
      </c>
      <c r="B346" s="175">
        <v>3</v>
      </c>
      <c r="C346" s="176" t="s">
        <v>469</v>
      </c>
      <c r="D346" s="176" t="s">
        <v>331</v>
      </c>
      <c r="E346" s="176" t="s">
        <v>345</v>
      </c>
      <c r="F346" s="176"/>
      <c r="G346" s="176" t="s">
        <v>324</v>
      </c>
      <c r="H346" s="178" t="s">
        <v>325</v>
      </c>
      <c r="I346" s="175" t="s">
        <v>231</v>
      </c>
      <c r="J346" s="179" t="s">
        <v>231</v>
      </c>
      <c r="K346" s="179"/>
      <c r="L346" s="176" t="s">
        <v>362</v>
      </c>
      <c r="M346" s="180">
        <f t="shared" si="22"/>
        <v>494940.16000000003</v>
      </c>
      <c r="N346" s="181">
        <v>0</v>
      </c>
      <c r="O346" s="181">
        <v>0</v>
      </c>
      <c r="P346" s="181">
        <v>0</v>
      </c>
      <c r="Q346" s="181">
        <v>0</v>
      </c>
      <c r="R346" s="181">
        <v>0</v>
      </c>
      <c r="S346" s="182">
        <f t="shared" si="21"/>
        <v>494940.16000000003</v>
      </c>
      <c r="T346" s="183"/>
    </row>
    <row r="347" spans="1:20" ht="11.25">
      <c r="A347" s="175" t="s">
        <v>270</v>
      </c>
      <c r="B347" s="175">
        <v>4</v>
      </c>
      <c r="C347" s="176" t="s">
        <v>469</v>
      </c>
      <c r="D347" s="176" t="s">
        <v>331</v>
      </c>
      <c r="E347" s="176" t="s">
        <v>345</v>
      </c>
      <c r="F347" s="176"/>
      <c r="G347" s="176" t="s">
        <v>324</v>
      </c>
      <c r="H347" s="178" t="s">
        <v>325</v>
      </c>
      <c r="I347" s="175" t="s">
        <v>231</v>
      </c>
      <c r="J347" s="179" t="s">
        <v>231</v>
      </c>
      <c r="K347" s="179"/>
      <c r="L347" s="176" t="s">
        <v>362</v>
      </c>
      <c r="M347" s="180">
        <f t="shared" si="22"/>
        <v>514737.7664000001</v>
      </c>
      <c r="N347" s="181">
        <v>0</v>
      </c>
      <c r="O347" s="181">
        <v>0</v>
      </c>
      <c r="P347" s="181">
        <v>0</v>
      </c>
      <c r="Q347" s="181">
        <v>0</v>
      </c>
      <c r="R347" s="181">
        <v>0</v>
      </c>
      <c r="S347" s="182">
        <f t="shared" si="21"/>
        <v>514737.7664000001</v>
      </c>
      <c r="T347" s="183"/>
    </row>
    <row r="348" spans="1:20" ht="11.25">
      <c r="A348" s="175" t="s">
        <v>271</v>
      </c>
      <c r="B348" s="175">
        <v>5</v>
      </c>
      <c r="C348" s="176" t="s">
        <v>469</v>
      </c>
      <c r="D348" s="176" t="s">
        <v>331</v>
      </c>
      <c r="E348" s="176" t="s">
        <v>345</v>
      </c>
      <c r="F348" s="176"/>
      <c r="G348" s="176" t="s">
        <v>324</v>
      </c>
      <c r="H348" s="178" t="s">
        <v>325</v>
      </c>
      <c r="I348" s="175" t="s">
        <v>231</v>
      </c>
      <c r="J348" s="179" t="s">
        <v>231</v>
      </c>
      <c r="K348" s="179"/>
      <c r="L348" s="176" t="s">
        <v>362</v>
      </c>
      <c r="M348" s="180">
        <f t="shared" si="22"/>
        <v>535327.2770560001</v>
      </c>
      <c r="N348" s="181">
        <v>0</v>
      </c>
      <c r="O348" s="181">
        <v>0</v>
      </c>
      <c r="P348" s="181">
        <v>0</v>
      </c>
      <c r="Q348" s="181">
        <v>0</v>
      </c>
      <c r="R348" s="181">
        <v>0</v>
      </c>
      <c r="S348" s="182">
        <f t="shared" si="21"/>
        <v>535327.2770560001</v>
      </c>
      <c r="T348" s="183"/>
    </row>
    <row r="349" spans="1:20" ht="11.25">
      <c r="A349" s="175" t="s">
        <v>272</v>
      </c>
      <c r="B349" s="175">
        <v>6</v>
      </c>
      <c r="C349" s="176" t="s">
        <v>469</v>
      </c>
      <c r="D349" s="176" t="s">
        <v>331</v>
      </c>
      <c r="E349" s="176" t="s">
        <v>345</v>
      </c>
      <c r="F349" s="176"/>
      <c r="G349" s="176" t="s">
        <v>324</v>
      </c>
      <c r="H349" s="178" t="s">
        <v>325</v>
      </c>
      <c r="I349" s="175" t="s">
        <v>231</v>
      </c>
      <c r="J349" s="179" t="s">
        <v>231</v>
      </c>
      <c r="K349" s="179"/>
      <c r="L349" s="176" t="s">
        <v>362</v>
      </c>
      <c r="M349" s="180">
        <f t="shared" si="22"/>
        <v>556740.3681382401</v>
      </c>
      <c r="N349" s="181">
        <v>0</v>
      </c>
      <c r="O349" s="181">
        <v>0</v>
      </c>
      <c r="P349" s="181">
        <v>0</v>
      </c>
      <c r="Q349" s="181">
        <v>0</v>
      </c>
      <c r="R349" s="181">
        <v>0</v>
      </c>
      <c r="S349" s="182">
        <f t="shared" si="21"/>
        <v>556740.3681382401</v>
      </c>
      <c r="T349" s="183"/>
    </row>
    <row r="350" spans="1:20" ht="11.25">
      <c r="A350" s="175" t="s">
        <v>273</v>
      </c>
      <c r="B350" s="175">
        <v>7</v>
      </c>
      <c r="C350" s="176" t="s">
        <v>469</v>
      </c>
      <c r="D350" s="176" t="s">
        <v>331</v>
      </c>
      <c r="E350" s="176" t="s">
        <v>345</v>
      </c>
      <c r="F350" s="176"/>
      <c r="G350" s="176" t="s">
        <v>324</v>
      </c>
      <c r="H350" s="178" t="s">
        <v>325</v>
      </c>
      <c r="I350" s="175" t="s">
        <v>231</v>
      </c>
      <c r="J350" s="179" t="s">
        <v>231</v>
      </c>
      <c r="K350" s="179"/>
      <c r="L350" s="176" t="s">
        <v>362</v>
      </c>
      <c r="M350" s="180">
        <f t="shared" si="22"/>
        <v>579009.9828637696</v>
      </c>
      <c r="N350" s="181">
        <v>0</v>
      </c>
      <c r="O350" s="181">
        <v>0</v>
      </c>
      <c r="P350" s="181">
        <v>0</v>
      </c>
      <c r="Q350" s="181">
        <v>0</v>
      </c>
      <c r="R350" s="181">
        <v>0</v>
      </c>
      <c r="S350" s="182">
        <f t="shared" si="21"/>
        <v>579009.9828637696</v>
      </c>
      <c r="T350" s="183"/>
    </row>
    <row r="351" spans="1:20" ht="11.25">
      <c r="A351" s="175" t="s">
        <v>274</v>
      </c>
      <c r="B351" s="175">
        <v>8</v>
      </c>
      <c r="C351" s="176" t="s">
        <v>469</v>
      </c>
      <c r="D351" s="176" t="s">
        <v>331</v>
      </c>
      <c r="E351" s="176" t="s">
        <v>345</v>
      </c>
      <c r="F351" s="176"/>
      <c r="G351" s="176" t="s">
        <v>324</v>
      </c>
      <c r="H351" s="178" t="s">
        <v>325</v>
      </c>
      <c r="I351" s="175" t="s">
        <v>231</v>
      </c>
      <c r="J351" s="179" t="s">
        <v>231</v>
      </c>
      <c r="K351" s="179"/>
      <c r="L351" s="176" t="s">
        <v>362</v>
      </c>
      <c r="M351" s="180">
        <f t="shared" si="22"/>
        <v>602170.3821783204</v>
      </c>
      <c r="N351" s="181">
        <v>0</v>
      </c>
      <c r="O351" s="181">
        <v>0</v>
      </c>
      <c r="P351" s="181">
        <v>0</v>
      </c>
      <c r="Q351" s="181">
        <v>0</v>
      </c>
      <c r="R351" s="181">
        <v>0</v>
      </c>
      <c r="S351" s="182">
        <f t="shared" si="21"/>
        <v>602170.3821783204</v>
      </c>
      <c r="T351" s="183"/>
    </row>
    <row r="352" spans="1:20" ht="11.25">
      <c r="A352" s="175" t="s">
        <v>275</v>
      </c>
      <c r="B352" s="175">
        <v>9</v>
      </c>
      <c r="C352" s="176" t="s">
        <v>469</v>
      </c>
      <c r="D352" s="176" t="s">
        <v>331</v>
      </c>
      <c r="E352" s="176" t="s">
        <v>345</v>
      </c>
      <c r="F352" s="176"/>
      <c r="G352" s="176" t="s">
        <v>324</v>
      </c>
      <c r="H352" s="178" t="s">
        <v>325</v>
      </c>
      <c r="I352" s="175" t="s">
        <v>231</v>
      </c>
      <c r="J352" s="179" t="s">
        <v>231</v>
      </c>
      <c r="K352" s="179"/>
      <c r="L352" s="176" t="s">
        <v>362</v>
      </c>
      <c r="M352" s="180">
        <f t="shared" si="22"/>
        <v>626257.1974654533</v>
      </c>
      <c r="N352" s="181">
        <v>0</v>
      </c>
      <c r="O352" s="181">
        <v>0</v>
      </c>
      <c r="P352" s="181">
        <v>0</v>
      </c>
      <c r="Q352" s="181">
        <v>0</v>
      </c>
      <c r="R352" s="181">
        <v>0</v>
      </c>
      <c r="S352" s="182">
        <f t="shared" si="21"/>
        <v>626257.1974654533</v>
      </c>
      <c r="T352" s="183"/>
    </row>
    <row r="353" spans="1:20" ht="11.25">
      <c r="A353" s="175" t="s">
        <v>276</v>
      </c>
      <c r="B353" s="175">
        <v>10</v>
      </c>
      <c r="C353" s="176" t="s">
        <v>469</v>
      </c>
      <c r="D353" s="176" t="s">
        <v>331</v>
      </c>
      <c r="E353" s="176" t="s">
        <v>345</v>
      </c>
      <c r="F353" s="176"/>
      <c r="G353" s="176" t="s">
        <v>324</v>
      </c>
      <c r="H353" s="178" t="s">
        <v>325</v>
      </c>
      <c r="I353" s="175" t="s">
        <v>231</v>
      </c>
      <c r="J353" s="179" t="s">
        <v>231</v>
      </c>
      <c r="K353" s="179"/>
      <c r="L353" s="176" t="s">
        <v>362</v>
      </c>
      <c r="M353" s="180">
        <f t="shared" si="22"/>
        <v>651307.4853640714</v>
      </c>
      <c r="N353" s="181">
        <v>0</v>
      </c>
      <c r="O353" s="181">
        <v>0</v>
      </c>
      <c r="P353" s="181">
        <v>0</v>
      </c>
      <c r="Q353" s="181">
        <v>0</v>
      </c>
      <c r="R353" s="181">
        <v>0</v>
      </c>
      <c r="S353" s="182">
        <f t="shared" si="21"/>
        <v>651307.4853640714</v>
      </c>
      <c r="T353" s="183"/>
    </row>
    <row r="354" spans="1:20" ht="11.25">
      <c r="A354" s="175" t="s">
        <v>277</v>
      </c>
      <c r="B354" s="175">
        <v>11</v>
      </c>
      <c r="C354" s="176" t="s">
        <v>469</v>
      </c>
      <c r="D354" s="176" t="s">
        <v>331</v>
      </c>
      <c r="E354" s="176" t="s">
        <v>345</v>
      </c>
      <c r="F354" s="176"/>
      <c r="G354" s="176" t="s">
        <v>324</v>
      </c>
      <c r="H354" s="178" t="s">
        <v>325</v>
      </c>
      <c r="I354" s="175" t="s">
        <v>231</v>
      </c>
      <c r="J354" s="179" t="s">
        <v>231</v>
      </c>
      <c r="K354" s="179"/>
      <c r="L354" s="176" t="s">
        <v>362</v>
      </c>
      <c r="M354" s="180">
        <f t="shared" si="22"/>
        <v>677359.7847786343</v>
      </c>
      <c r="N354" s="181">
        <v>0</v>
      </c>
      <c r="O354" s="181">
        <v>0</v>
      </c>
      <c r="P354" s="181">
        <v>0</v>
      </c>
      <c r="Q354" s="181">
        <v>0</v>
      </c>
      <c r="R354" s="181">
        <v>0</v>
      </c>
      <c r="S354" s="182">
        <f t="shared" si="21"/>
        <v>677359.7847786343</v>
      </c>
      <c r="T354" s="183"/>
    </row>
    <row r="355" spans="1:20" ht="11.25">
      <c r="A355" s="175" t="s">
        <v>278</v>
      </c>
      <c r="B355" s="175">
        <v>12</v>
      </c>
      <c r="C355" s="176" t="s">
        <v>469</v>
      </c>
      <c r="D355" s="176" t="s">
        <v>331</v>
      </c>
      <c r="E355" s="176" t="s">
        <v>345</v>
      </c>
      <c r="F355" s="176"/>
      <c r="G355" s="176" t="s">
        <v>324</v>
      </c>
      <c r="H355" s="178" t="s">
        <v>325</v>
      </c>
      <c r="I355" s="175" t="s">
        <v>231</v>
      </c>
      <c r="J355" s="179" t="s">
        <v>231</v>
      </c>
      <c r="K355" s="179"/>
      <c r="L355" s="176" t="s">
        <v>362</v>
      </c>
      <c r="M355" s="180">
        <f t="shared" si="22"/>
        <v>704454.1761697797</v>
      </c>
      <c r="N355" s="181">
        <v>0</v>
      </c>
      <c r="O355" s="181">
        <v>0</v>
      </c>
      <c r="P355" s="181">
        <v>0</v>
      </c>
      <c r="Q355" s="181">
        <v>0</v>
      </c>
      <c r="R355" s="181">
        <v>0</v>
      </c>
      <c r="S355" s="182">
        <f t="shared" si="21"/>
        <v>704454.1761697797</v>
      </c>
      <c r="T355" s="183"/>
    </row>
    <row r="356" spans="1:20" ht="11.25">
      <c r="A356" s="175" t="s">
        <v>279</v>
      </c>
      <c r="B356" s="175">
        <v>13</v>
      </c>
      <c r="C356" s="176" t="s">
        <v>469</v>
      </c>
      <c r="D356" s="176" t="s">
        <v>331</v>
      </c>
      <c r="E356" s="176" t="s">
        <v>345</v>
      </c>
      <c r="F356" s="176"/>
      <c r="G356" s="176" t="s">
        <v>324</v>
      </c>
      <c r="H356" s="178" t="s">
        <v>325</v>
      </c>
      <c r="I356" s="175" t="s">
        <v>231</v>
      </c>
      <c r="J356" s="179" t="s">
        <v>231</v>
      </c>
      <c r="K356" s="179"/>
      <c r="L356" s="176" t="s">
        <v>362</v>
      </c>
      <c r="M356" s="180">
        <f t="shared" si="22"/>
        <v>732632.3432165709</v>
      </c>
      <c r="N356" s="181">
        <v>0</v>
      </c>
      <c r="O356" s="181">
        <v>0</v>
      </c>
      <c r="P356" s="181">
        <v>0</v>
      </c>
      <c r="Q356" s="181">
        <v>0</v>
      </c>
      <c r="R356" s="181">
        <v>0</v>
      </c>
      <c r="S356" s="182">
        <f t="shared" si="21"/>
        <v>732632.3432165709</v>
      </c>
      <c r="T356" s="183"/>
    </row>
    <row r="357" spans="1:20" ht="11.25">
      <c r="A357" s="175" t="s">
        <v>280</v>
      </c>
      <c r="B357" s="175">
        <v>14</v>
      </c>
      <c r="C357" s="176" t="s">
        <v>469</v>
      </c>
      <c r="D357" s="176" t="s">
        <v>331</v>
      </c>
      <c r="E357" s="176" t="s">
        <v>345</v>
      </c>
      <c r="F357" s="176"/>
      <c r="G357" s="176" t="s">
        <v>324</v>
      </c>
      <c r="H357" s="178" t="s">
        <v>325</v>
      </c>
      <c r="I357" s="175" t="s">
        <v>231</v>
      </c>
      <c r="J357" s="179" t="s">
        <v>231</v>
      </c>
      <c r="K357" s="179"/>
      <c r="L357" s="176" t="s">
        <v>362</v>
      </c>
      <c r="M357" s="180">
        <f t="shared" si="22"/>
        <v>761937.6369452338</v>
      </c>
      <c r="N357" s="181">
        <v>0</v>
      </c>
      <c r="O357" s="181">
        <v>0</v>
      </c>
      <c r="P357" s="181">
        <v>0</v>
      </c>
      <c r="Q357" s="181">
        <v>0</v>
      </c>
      <c r="R357" s="181">
        <v>0</v>
      </c>
      <c r="S357" s="182">
        <f t="shared" si="21"/>
        <v>761937.6369452338</v>
      </c>
      <c r="T357" s="183"/>
    </row>
    <row r="358" spans="1:20" ht="11.25">
      <c r="A358" s="175" t="s">
        <v>281</v>
      </c>
      <c r="B358" s="175">
        <v>15</v>
      </c>
      <c r="C358" s="176" t="s">
        <v>469</v>
      </c>
      <c r="D358" s="176" t="s">
        <v>331</v>
      </c>
      <c r="E358" s="176" t="s">
        <v>345</v>
      </c>
      <c r="F358" s="176"/>
      <c r="G358" s="176" t="s">
        <v>324</v>
      </c>
      <c r="H358" s="178" t="s">
        <v>325</v>
      </c>
      <c r="I358" s="175" t="s">
        <v>231</v>
      </c>
      <c r="J358" s="179" t="s">
        <v>231</v>
      </c>
      <c r="K358" s="179"/>
      <c r="L358" s="176" t="s">
        <v>362</v>
      </c>
      <c r="M358" s="180">
        <f t="shared" si="22"/>
        <v>792415.1424230431</v>
      </c>
      <c r="N358" s="181">
        <v>0</v>
      </c>
      <c r="O358" s="181">
        <v>0</v>
      </c>
      <c r="P358" s="181">
        <v>0</v>
      </c>
      <c r="Q358" s="181">
        <v>0</v>
      </c>
      <c r="R358" s="181">
        <v>0</v>
      </c>
      <c r="S358" s="182">
        <f t="shared" si="21"/>
        <v>792415.1424230431</v>
      </c>
      <c r="T358" s="183"/>
    </row>
    <row r="359" spans="1:20" ht="11.25">
      <c r="A359" s="175" t="s">
        <v>282</v>
      </c>
      <c r="B359" s="175">
        <v>16</v>
      </c>
      <c r="C359" s="176" t="s">
        <v>469</v>
      </c>
      <c r="D359" s="176" t="s">
        <v>331</v>
      </c>
      <c r="E359" s="176" t="s">
        <v>345</v>
      </c>
      <c r="F359" s="176"/>
      <c r="G359" s="176" t="s">
        <v>324</v>
      </c>
      <c r="H359" s="178" t="s">
        <v>325</v>
      </c>
      <c r="I359" s="175" t="s">
        <v>231</v>
      </c>
      <c r="J359" s="179" t="s">
        <v>231</v>
      </c>
      <c r="K359" s="179"/>
      <c r="L359" s="176" t="s">
        <v>362</v>
      </c>
      <c r="M359" s="180">
        <f t="shared" si="22"/>
        <v>824111.7481199648</v>
      </c>
      <c r="N359" s="181">
        <v>0</v>
      </c>
      <c r="O359" s="181">
        <v>0</v>
      </c>
      <c r="P359" s="181">
        <v>0</v>
      </c>
      <c r="Q359" s="181">
        <v>0</v>
      </c>
      <c r="R359" s="181">
        <v>0</v>
      </c>
      <c r="S359" s="182">
        <f t="shared" si="21"/>
        <v>824111.7481199648</v>
      </c>
      <c r="T359" s="183"/>
    </row>
    <row r="360" spans="1:20" ht="11.25">
      <c r="A360" s="175" t="s">
        <v>283</v>
      </c>
      <c r="B360" s="175">
        <v>17</v>
      </c>
      <c r="C360" s="176" t="s">
        <v>469</v>
      </c>
      <c r="D360" s="176" t="s">
        <v>331</v>
      </c>
      <c r="E360" s="176" t="s">
        <v>345</v>
      </c>
      <c r="F360" s="176"/>
      <c r="G360" s="176" t="s">
        <v>324</v>
      </c>
      <c r="H360" s="178" t="s">
        <v>325</v>
      </c>
      <c r="I360" s="175" t="s">
        <v>231</v>
      </c>
      <c r="J360" s="179" t="s">
        <v>231</v>
      </c>
      <c r="K360" s="179"/>
      <c r="L360" s="176" t="s">
        <v>362</v>
      </c>
      <c r="M360" s="180">
        <f t="shared" si="22"/>
        <v>857076.2180447634</v>
      </c>
      <c r="N360" s="181">
        <v>0</v>
      </c>
      <c r="O360" s="181">
        <v>0</v>
      </c>
      <c r="P360" s="181">
        <v>0</v>
      </c>
      <c r="Q360" s="181">
        <v>0</v>
      </c>
      <c r="R360" s="181">
        <v>0</v>
      </c>
      <c r="S360" s="182">
        <f t="shared" si="21"/>
        <v>857076.2180447634</v>
      </c>
      <c r="T360" s="183"/>
    </row>
    <row r="361" spans="1:20" ht="11.25">
      <c r="A361" s="175" t="s">
        <v>284</v>
      </c>
      <c r="B361" s="175">
        <v>18</v>
      </c>
      <c r="C361" s="176" t="s">
        <v>469</v>
      </c>
      <c r="D361" s="176" t="s">
        <v>331</v>
      </c>
      <c r="E361" s="176" t="s">
        <v>345</v>
      </c>
      <c r="F361" s="176"/>
      <c r="G361" s="176" t="s">
        <v>324</v>
      </c>
      <c r="H361" s="178" t="s">
        <v>325</v>
      </c>
      <c r="I361" s="175" t="s">
        <v>231</v>
      </c>
      <c r="J361" s="179" t="s">
        <v>231</v>
      </c>
      <c r="K361" s="179"/>
      <c r="L361" s="176" t="s">
        <v>362</v>
      </c>
      <c r="M361" s="180">
        <f t="shared" si="22"/>
        <v>891359.266766554</v>
      </c>
      <c r="N361" s="181">
        <v>0</v>
      </c>
      <c r="O361" s="181">
        <v>0</v>
      </c>
      <c r="P361" s="181">
        <v>0</v>
      </c>
      <c r="Q361" s="181">
        <v>0</v>
      </c>
      <c r="R361" s="181">
        <v>0</v>
      </c>
      <c r="S361" s="182">
        <f t="shared" si="21"/>
        <v>891359.266766554</v>
      </c>
      <c r="T361" s="183"/>
    </row>
    <row r="362" spans="1:20" ht="11.25">
      <c r="A362" s="175" t="s">
        <v>285</v>
      </c>
      <c r="B362" s="175">
        <v>19</v>
      </c>
      <c r="C362" s="176" t="s">
        <v>469</v>
      </c>
      <c r="D362" s="176" t="s">
        <v>331</v>
      </c>
      <c r="E362" s="176" t="s">
        <v>345</v>
      </c>
      <c r="F362" s="176"/>
      <c r="G362" s="176" t="s">
        <v>324</v>
      </c>
      <c r="H362" s="178" t="s">
        <v>325</v>
      </c>
      <c r="I362" s="175" t="s">
        <v>231</v>
      </c>
      <c r="J362" s="179" t="s">
        <v>231</v>
      </c>
      <c r="K362" s="179"/>
      <c r="L362" s="176" t="s">
        <v>362</v>
      </c>
      <c r="M362" s="180">
        <f t="shared" si="22"/>
        <v>927013.6374372161</v>
      </c>
      <c r="N362" s="181">
        <v>0</v>
      </c>
      <c r="O362" s="181">
        <v>0</v>
      </c>
      <c r="P362" s="181">
        <v>0</v>
      </c>
      <c r="Q362" s="181">
        <v>0</v>
      </c>
      <c r="R362" s="181">
        <v>0</v>
      </c>
      <c r="S362" s="182">
        <f t="shared" si="21"/>
        <v>927013.6374372161</v>
      </c>
      <c r="T362" s="183"/>
    </row>
    <row r="363" spans="1:20" ht="11.25">
      <c r="A363" s="175" t="s">
        <v>303</v>
      </c>
      <c r="B363" s="175">
        <v>20</v>
      </c>
      <c r="C363" s="176" t="s">
        <v>469</v>
      </c>
      <c r="D363" s="176" t="s">
        <v>331</v>
      </c>
      <c r="E363" s="176" t="s">
        <v>345</v>
      </c>
      <c r="F363" s="176"/>
      <c r="G363" s="176" t="s">
        <v>324</v>
      </c>
      <c r="H363" s="178" t="s">
        <v>325</v>
      </c>
      <c r="I363" s="175" t="s">
        <v>231</v>
      </c>
      <c r="J363" s="179" t="s">
        <v>231</v>
      </c>
      <c r="K363" s="179"/>
      <c r="L363" s="176" t="s">
        <v>362</v>
      </c>
      <c r="M363" s="180">
        <f t="shared" si="22"/>
        <v>964094.1829347048</v>
      </c>
      <c r="N363" s="181">
        <v>0</v>
      </c>
      <c r="O363" s="181">
        <v>0</v>
      </c>
      <c r="P363" s="181">
        <v>0</v>
      </c>
      <c r="Q363" s="181">
        <v>0</v>
      </c>
      <c r="R363" s="181">
        <v>0</v>
      </c>
      <c r="S363" s="182">
        <f t="shared" si="21"/>
        <v>964094.1829347048</v>
      </c>
      <c r="T363" s="183"/>
    </row>
    <row r="364" spans="1:20" ht="11.25">
      <c r="A364" s="175" t="s">
        <v>267</v>
      </c>
      <c r="B364" s="175">
        <v>1</v>
      </c>
      <c r="C364" s="176" t="s">
        <v>355</v>
      </c>
      <c r="D364" s="176" t="s">
        <v>322</v>
      </c>
      <c r="E364" s="186" t="s">
        <v>375</v>
      </c>
      <c r="F364" s="176"/>
      <c r="G364" s="176" t="s">
        <v>324</v>
      </c>
      <c r="H364" s="178" t="s">
        <v>325</v>
      </c>
      <c r="I364" s="175" t="s">
        <v>231</v>
      </c>
      <c r="J364" s="179" t="s">
        <v>326</v>
      </c>
      <c r="K364" s="179"/>
      <c r="L364" s="176" t="s">
        <v>520</v>
      </c>
      <c r="M364" s="180">
        <v>100000</v>
      </c>
      <c r="N364" s="181">
        <v>0</v>
      </c>
      <c r="O364" s="181">
        <v>0</v>
      </c>
      <c r="P364" s="181">
        <v>0</v>
      </c>
      <c r="Q364" s="181">
        <v>0</v>
      </c>
      <c r="R364" s="181">
        <v>0</v>
      </c>
      <c r="S364" s="182">
        <f t="shared" si="21"/>
        <v>100000</v>
      </c>
      <c r="T364" s="183"/>
    </row>
    <row r="365" spans="1:20" ht="11.25">
      <c r="A365" s="175" t="s">
        <v>268</v>
      </c>
      <c r="B365" s="175">
        <v>2</v>
      </c>
      <c r="C365" s="176" t="s">
        <v>355</v>
      </c>
      <c r="D365" s="176" t="s">
        <v>322</v>
      </c>
      <c r="E365" s="186" t="s">
        <v>375</v>
      </c>
      <c r="F365" s="176"/>
      <c r="G365" s="176" t="s">
        <v>324</v>
      </c>
      <c r="H365" s="178" t="s">
        <v>325</v>
      </c>
      <c r="I365" s="175" t="s">
        <v>231</v>
      </c>
      <c r="J365" s="179" t="s">
        <v>352</v>
      </c>
      <c r="K365" s="179"/>
      <c r="L365" s="176" t="s">
        <v>520</v>
      </c>
      <c r="M365" s="180">
        <f aca="true" t="shared" si="23" ref="M365:M383">IF(J365="Y",M364*(1+$F$4),IF(J365="I",M364*(1+$E$4),M364))</f>
        <v>102499.99999999999</v>
      </c>
      <c r="N365" s="181">
        <v>0</v>
      </c>
      <c r="O365" s="181">
        <v>0</v>
      </c>
      <c r="P365" s="181">
        <v>0</v>
      </c>
      <c r="Q365" s="181">
        <v>0</v>
      </c>
      <c r="R365" s="181">
        <v>0</v>
      </c>
      <c r="S365" s="182">
        <f t="shared" si="21"/>
        <v>102499.99999999999</v>
      </c>
      <c r="T365" s="183"/>
    </row>
    <row r="366" spans="1:20" ht="11.25">
      <c r="A366" s="175" t="s">
        <v>269</v>
      </c>
      <c r="B366" s="175">
        <v>3</v>
      </c>
      <c r="C366" s="176" t="s">
        <v>355</v>
      </c>
      <c r="D366" s="176" t="s">
        <v>322</v>
      </c>
      <c r="E366" s="186" t="s">
        <v>375</v>
      </c>
      <c r="F366" s="176"/>
      <c r="G366" s="176" t="s">
        <v>324</v>
      </c>
      <c r="H366" s="178" t="s">
        <v>325</v>
      </c>
      <c r="I366" s="175" t="s">
        <v>231</v>
      </c>
      <c r="J366" s="179" t="s">
        <v>352</v>
      </c>
      <c r="K366" s="179"/>
      <c r="L366" s="176" t="s">
        <v>520</v>
      </c>
      <c r="M366" s="180">
        <f t="shared" si="23"/>
        <v>105062.49999999997</v>
      </c>
      <c r="N366" s="181">
        <v>0</v>
      </c>
      <c r="O366" s="181">
        <v>0</v>
      </c>
      <c r="P366" s="181">
        <v>0</v>
      </c>
      <c r="Q366" s="181">
        <v>0</v>
      </c>
      <c r="R366" s="181">
        <v>0</v>
      </c>
      <c r="S366" s="182">
        <f t="shared" si="21"/>
        <v>105062.49999999997</v>
      </c>
      <c r="T366" s="183"/>
    </row>
    <row r="367" spans="1:20" ht="11.25">
      <c r="A367" s="175" t="s">
        <v>270</v>
      </c>
      <c r="B367" s="175">
        <v>4</v>
      </c>
      <c r="C367" s="176" t="s">
        <v>355</v>
      </c>
      <c r="D367" s="176" t="s">
        <v>322</v>
      </c>
      <c r="E367" s="186" t="s">
        <v>375</v>
      </c>
      <c r="F367" s="176"/>
      <c r="G367" s="176" t="s">
        <v>324</v>
      </c>
      <c r="H367" s="178" t="s">
        <v>325</v>
      </c>
      <c r="I367" s="175" t="s">
        <v>231</v>
      </c>
      <c r="J367" s="179" t="s">
        <v>352</v>
      </c>
      <c r="K367" s="179"/>
      <c r="L367" s="176" t="s">
        <v>520</v>
      </c>
      <c r="M367" s="180">
        <f t="shared" si="23"/>
        <v>107689.06249999996</v>
      </c>
      <c r="N367" s="181">
        <v>0</v>
      </c>
      <c r="O367" s="181">
        <v>0</v>
      </c>
      <c r="P367" s="181">
        <v>0</v>
      </c>
      <c r="Q367" s="181">
        <v>0</v>
      </c>
      <c r="R367" s="181">
        <v>0</v>
      </c>
      <c r="S367" s="182">
        <f t="shared" si="21"/>
        <v>107689.06249999996</v>
      </c>
      <c r="T367" s="183"/>
    </row>
    <row r="368" spans="1:20" ht="11.25">
      <c r="A368" s="175" t="s">
        <v>271</v>
      </c>
      <c r="B368" s="175">
        <v>5</v>
      </c>
      <c r="C368" s="176" t="s">
        <v>355</v>
      </c>
      <c r="D368" s="176" t="s">
        <v>322</v>
      </c>
      <c r="E368" s="186" t="s">
        <v>375</v>
      </c>
      <c r="F368" s="176"/>
      <c r="G368" s="176" t="s">
        <v>324</v>
      </c>
      <c r="H368" s="178" t="s">
        <v>325</v>
      </c>
      <c r="I368" s="175" t="s">
        <v>231</v>
      </c>
      <c r="J368" s="179" t="s">
        <v>352</v>
      </c>
      <c r="K368" s="179"/>
      <c r="L368" s="176" t="s">
        <v>520</v>
      </c>
      <c r="M368" s="180">
        <f t="shared" si="23"/>
        <v>110381.28906249994</v>
      </c>
      <c r="N368" s="181">
        <v>0</v>
      </c>
      <c r="O368" s="181">
        <v>0</v>
      </c>
      <c r="P368" s="181">
        <v>0</v>
      </c>
      <c r="Q368" s="181">
        <v>0</v>
      </c>
      <c r="R368" s="181">
        <v>0</v>
      </c>
      <c r="S368" s="182">
        <f t="shared" si="21"/>
        <v>110381.28906249994</v>
      </c>
      <c r="T368" s="183"/>
    </row>
    <row r="369" spans="1:20" ht="11.25">
      <c r="A369" s="175" t="s">
        <v>272</v>
      </c>
      <c r="B369" s="175">
        <v>6</v>
      </c>
      <c r="C369" s="176" t="s">
        <v>355</v>
      </c>
      <c r="D369" s="176" t="s">
        <v>322</v>
      </c>
      <c r="E369" s="186" t="s">
        <v>375</v>
      </c>
      <c r="F369" s="176"/>
      <c r="G369" s="176" t="s">
        <v>324</v>
      </c>
      <c r="H369" s="178" t="s">
        <v>325</v>
      </c>
      <c r="I369" s="175" t="s">
        <v>231</v>
      </c>
      <c r="J369" s="179" t="s">
        <v>352</v>
      </c>
      <c r="K369" s="179"/>
      <c r="L369" s="176" t="s">
        <v>520</v>
      </c>
      <c r="M369" s="180">
        <f t="shared" si="23"/>
        <v>113140.82128906243</v>
      </c>
      <c r="N369" s="181">
        <v>0</v>
      </c>
      <c r="O369" s="181">
        <v>0</v>
      </c>
      <c r="P369" s="181">
        <v>0</v>
      </c>
      <c r="Q369" s="181">
        <v>0</v>
      </c>
      <c r="R369" s="181">
        <v>0</v>
      </c>
      <c r="S369" s="182">
        <f t="shared" si="21"/>
        <v>113140.82128906243</v>
      </c>
      <c r="T369" s="183"/>
    </row>
    <row r="370" spans="1:20" ht="11.25">
      <c r="A370" s="175" t="s">
        <v>273</v>
      </c>
      <c r="B370" s="175">
        <v>7</v>
      </c>
      <c r="C370" s="176" t="s">
        <v>355</v>
      </c>
      <c r="D370" s="176" t="s">
        <v>322</v>
      </c>
      <c r="E370" s="186" t="s">
        <v>375</v>
      </c>
      <c r="F370" s="176"/>
      <c r="G370" s="176" t="s">
        <v>324</v>
      </c>
      <c r="H370" s="178" t="s">
        <v>325</v>
      </c>
      <c r="I370" s="175" t="s">
        <v>231</v>
      </c>
      <c r="J370" s="179" t="s">
        <v>352</v>
      </c>
      <c r="K370" s="179"/>
      <c r="L370" s="176" t="s">
        <v>520</v>
      </c>
      <c r="M370" s="180">
        <f t="shared" si="23"/>
        <v>115969.34182128898</v>
      </c>
      <c r="N370" s="181">
        <v>0</v>
      </c>
      <c r="O370" s="181">
        <v>0</v>
      </c>
      <c r="P370" s="181">
        <v>0</v>
      </c>
      <c r="Q370" s="181">
        <v>0</v>
      </c>
      <c r="R370" s="181">
        <v>0</v>
      </c>
      <c r="S370" s="182">
        <f t="shared" si="21"/>
        <v>115969.34182128898</v>
      </c>
      <c r="T370" s="183"/>
    </row>
    <row r="371" spans="1:20" ht="11.25">
      <c r="A371" s="175" t="s">
        <v>274</v>
      </c>
      <c r="B371" s="175">
        <v>8</v>
      </c>
      <c r="C371" s="176" t="s">
        <v>355</v>
      </c>
      <c r="D371" s="176" t="s">
        <v>322</v>
      </c>
      <c r="E371" s="186" t="s">
        <v>375</v>
      </c>
      <c r="F371" s="176"/>
      <c r="G371" s="176" t="s">
        <v>324</v>
      </c>
      <c r="H371" s="178" t="s">
        <v>325</v>
      </c>
      <c r="I371" s="175" t="s">
        <v>231</v>
      </c>
      <c r="J371" s="179" t="s">
        <v>352</v>
      </c>
      <c r="K371" s="179"/>
      <c r="L371" s="176" t="s">
        <v>520</v>
      </c>
      <c r="M371" s="180">
        <f t="shared" si="23"/>
        <v>118868.5753668212</v>
      </c>
      <c r="N371" s="181">
        <v>0</v>
      </c>
      <c r="O371" s="181">
        <v>0</v>
      </c>
      <c r="P371" s="181">
        <v>0</v>
      </c>
      <c r="Q371" s="181">
        <v>0</v>
      </c>
      <c r="R371" s="181">
        <v>0</v>
      </c>
      <c r="S371" s="182">
        <f t="shared" si="21"/>
        <v>118868.5753668212</v>
      </c>
      <c r="T371" s="183"/>
    </row>
    <row r="372" spans="1:20" ht="11.25">
      <c r="A372" s="175" t="s">
        <v>275</v>
      </c>
      <c r="B372" s="175">
        <v>9</v>
      </c>
      <c r="C372" s="176" t="s">
        <v>355</v>
      </c>
      <c r="D372" s="176" t="s">
        <v>322</v>
      </c>
      <c r="E372" s="186" t="s">
        <v>375</v>
      </c>
      <c r="F372" s="176"/>
      <c r="G372" s="176" t="s">
        <v>324</v>
      </c>
      <c r="H372" s="178" t="s">
        <v>325</v>
      </c>
      <c r="I372" s="175" t="s">
        <v>231</v>
      </c>
      <c r="J372" s="179" t="s">
        <v>352</v>
      </c>
      <c r="K372" s="179"/>
      <c r="L372" s="176" t="s">
        <v>520</v>
      </c>
      <c r="M372" s="180">
        <f t="shared" si="23"/>
        <v>121840.28975099172</v>
      </c>
      <c r="N372" s="181">
        <v>0</v>
      </c>
      <c r="O372" s="181">
        <v>0</v>
      </c>
      <c r="P372" s="181">
        <v>0</v>
      </c>
      <c r="Q372" s="181">
        <v>0</v>
      </c>
      <c r="R372" s="181">
        <v>0</v>
      </c>
      <c r="S372" s="182">
        <f t="shared" si="21"/>
        <v>121840.28975099172</v>
      </c>
      <c r="T372" s="183"/>
    </row>
    <row r="373" spans="1:20" ht="11.25">
      <c r="A373" s="175" t="s">
        <v>276</v>
      </c>
      <c r="B373" s="175">
        <v>10</v>
      </c>
      <c r="C373" s="176" t="s">
        <v>355</v>
      </c>
      <c r="D373" s="176" t="s">
        <v>322</v>
      </c>
      <c r="E373" s="186" t="s">
        <v>375</v>
      </c>
      <c r="F373" s="176"/>
      <c r="G373" s="176" t="s">
        <v>324</v>
      </c>
      <c r="H373" s="178" t="s">
        <v>325</v>
      </c>
      <c r="I373" s="175" t="s">
        <v>231</v>
      </c>
      <c r="J373" s="179" t="s">
        <v>352</v>
      </c>
      <c r="K373" s="179"/>
      <c r="L373" s="176" t="s">
        <v>520</v>
      </c>
      <c r="M373" s="180">
        <f t="shared" si="23"/>
        <v>124886.29699476651</v>
      </c>
      <c r="N373" s="181">
        <v>0</v>
      </c>
      <c r="O373" s="181">
        <v>0</v>
      </c>
      <c r="P373" s="181">
        <v>0</v>
      </c>
      <c r="Q373" s="181">
        <v>0</v>
      </c>
      <c r="R373" s="181">
        <v>0</v>
      </c>
      <c r="S373" s="182">
        <f t="shared" si="21"/>
        <v>124886.29699476651</v>
      </c>
      <c r="T373" s="183"/>
    </row>
    <row r="374" spans="1:20" ht="11.25">
      <c r="A374" s="175" t="s">
        <v>277</v>
      </c>
      <c r="B374" s="175">
        <v>11</v>
      </c>
      <c r="C374" s="176" t="s">
        <v>355</v>
      </c>
      <c r="D374" s="176" t="s">
        <v>322</v>
      </c>
      <c r="E374" s="186" t="s">
        <v>375</v>
      </c>
      <c r="F374" s="176"/>
      <c r="G374" s="176" t="s">
        <v>324</v>
      </c>
      <c r="H374" s="178" t="s">
        <v>325</v>
      </c>
      <c r="I374" s="175" t="s">
        <v>231</v>
      </c>
      <c r="J374" s="179" t="s">
        <v>352</v>
      </c>
      <c r="K374" s="179"/>
      <c r="L374" s="176" t="s">
        <v>520</v>
      </c>
      <c r="M374" s="180">
        <f t="shared" si="23"/>
        <v>128008.45441963566</v>
      </c>
      <c r="N374" s="181">
        <v>0</v>
      </c>
      <c r="O374" s="181">
        <v>0</v>
      </c>
      <c r="P374" s="181">
        <v>0</v>
      </c>
      <c r="Q374" s="181">
        <v>0</v>
      </c>
      <c r="R374" s="181">
        <v>0</v>
      </c>
      <c r="S374" s="182">
        <f t="shared" si="21"/>
        <v>128008.45441963566</v>
      </c>
      <c r="T374" s="183"/>
    </row>
    <row r="375" spans="1:20" ht="11.25">
      <c r="A375" s="175" t="s">
        <v>278</v>
      </c>
      <c r="B375" s="175">
        <v>12</v>
      </c>
      <c r="C375" s="176" t="s">
        <v>355</v>
      </c>
      <c r="D375" s="176" t="s">
        <v>322</v>
      </c>
      <c r="E375" s="186" t="s">
        <v>375</v>
      </c>
      <c r="F375" s="176"/>
      <c r="G375" s="176" t="s">
        <v>324</v>
      </c>
      <c r="H375" s="178" t="s">
        <v>325</v>
      </c>
      <c r="I375" s="175" t="s">
        <v>231</v>
      </c>
      <c r="J375" s="179" t="s">
        <v>352</v>
      </c>
      <c r="K375" s="179"/>
      <c r="L375" s="176" t="s">
        <v>520</v>
      </c>
      <c r="M375" s="180">
        <f t="shared" si="23"/>
        <v>131208.66578012652</v>
      </c>
      <c r="N375" s="181">
        <v>0</v>
      </c>
      <c r="O375" s="181">
        <v>0</v>
      </c>
      <c r="P375" s="181">
        <v>0</v>
      </c>
      <c r="Q375" s="181">
        <v>0</v>
      </c>
      <c r="R375" s="181">
        <v>0</v>
      </c>
      <c r="S375" s="182">
        <f t="shared" si="21"/>
        <v>131208.66578012652</v>
      </c>
      <c r="T375" s="183"/>
    </row>
    <row r="376" spans="1:20" ht="11.25">
      <c r="A376" s="175" t="s">
        <v>279</v>
      </c>
      <c r="B376" s="175">
        <v>13</v>
      </c>
      <c r="C376" s="176" t="s">
        <v>355</v>
      </c>
      <c r="D376" s="176" t="s">
        <v>322</v>
      </c>
      <c r="E376" s="186" t="s">
        <v>375</v>
      </c>
      <c r="F376" s="176"/>
      <c r="G376" s="176" t="s">
        <v>324</v>
      </c>
      <c r="H376" s="178" t="s">
        <v>325</v>
      </c>
      <c r="I376" s="175" t="s">
        <v>231</v>
      </c>
      <c r="J376" s="179" t="s">
        <v>352</v>
      </c>
      <c r="K376" s="179"/>
      <c r="L376" s="176" t="s">
        <v>520</v>
      </c>
      <c r="M376" s="180">
        <f t="shared" si="23"/>
        <v>134488.88242462967</v>
      </c>
      <c r="N376" s="181">
        <v>0</v>
      </c>
      <c r="O376" s="181">
        <v>0</v>
      </c>
      <c r="P376" s="181">
        <v>0</v>
      </c>
      <c r="Q376" s="181">
        <v>0</v>
      </c>
      <c r="R376" s="181">
        <v>0</v>
      </c>
      <c r="S376" s="182">
        <f t="shared" si="21"/>
        <v>134488.88242462967</v>
      </c>
      <c r="T376" s="183"/>
    </row>
    <row r="377" spans="1:20" ht="11.25">
      <c r="A377" s="175" t="s">
        <v>280</v>
      </c>
      <c r="B377" s="175">
        <v>14</v>
      </c>
      <c r="C377" s="176" t="s">
        <v>355</v>
      </c>
      <c r="D377" s="176" t="s">
        <v>322</v>
      </c>
      <c r="E377" s="186" t="s">
        <v>375</v>
      </c>
      <c r="F377" s="176"/>
      <c r="G377" s="176" t="s">
        <v>324</v>
      </c>
      <c r="H377" s="178" t="s">
        <v>325</v>
      </c>
      <c r="I377" s="175" t="s">
        <v>231</v>
      </c>
      <c r="J377" s="179" t="s">
        <v>352</v>
      </c>
      <c r="K377" s="179"/>
      <c r="L377" s="176" t="s">
        <v>520</v>
      </c>
      <c r="M377" s="180">
        <f t="shared" si="23"/>
        <v>137851.1044852454</v>
      </c>
      <c r="N377" s="181">
        <v>0</v>
      </c>
      <c r="O377" s="181">
        <v>0</v>
      </c>
      <c r="P377" s="181">
        <v>0</v>
      </c>
      <c r="Q377" s="181">
        <v>0</v>
      </c>
      <c r="R377" s="181">
        <v>0</v>
      </c>
      <c r="S377" s="182">
        <f t="shared" si="21"/>
        <v>137851.1044852454</v>
      </c>
      <c r="T377" s="183"/>
    </row>
    <row r="378" spans="1:20" ht="11.25">
      <c r="A378" s="175" t="s">
        <v>281</v>
      </c>
      <c r="B378" s="175">
        <v>15</v>
      </c>
      <c r="C378" s="176" t="s">
        <v>355</v>
      </c>
      <c r="D378" s="176" t="s">
        <v>322</v>
      </c>
      <c r="E378" s="186" t="s">
        <v>375</v>
      </c>
      <c r="F378" s="176"/>
      <c r="G378" s="176" t="s">
        <v>324</v>
      </c>
      <c r="H378" s="178" t="s">
        <v>325</v>
      </c>
      <c r="I378" s="175" t="s">
        <v>231</v>
      </c>
      <c r="J378" s="179" t="s">
        <v>352</v>
      </c>
      <c r="K378" s="179"/>
      <c r="L378" s="176" t="s">
        <v>520</v>
      </c>
      <c r="M378" s="180">
        <f t="shared" si="23"/>
        <v>141297.3820973765</v>
      </c>
      <c r="N378" s="181">
        <v>0</v>
      </c>
      <c r="O378" s="181">
        <v>0</v>
      </c>
      <c r="P378" s="181">
        <v>0</v>
      </c>
      <c r="Q378" s="181">
        <v>0</v>
      </c>
      <c r="R378" s="181">
        <v>0</v>
      </c>
      <c r="S378" s="182">
        <f t="shared" si="21"/>
        <v>141297.3820973765</v>
      </c>
      <c r="T378" s="183"/>
    </row>
    <row r="379" spans="1:20" ht="11.25">
      <c r="A379" s="175" t="s">
        <v>282</v>
      </c>
      <c r="B379" s="175">
        <v>16</v>
      </c>
      <c r="C379" s="176" t="s">
        <v>355</v>
      </c>
      <c r="D379" s="176" t="s">
        <v>322</v>
      </c>
      <c r="E379" s="186" t="s">
        <v>375</v>
      </c>
      <c r="F379" s="176"/>
      <c r="G379" s="176" t="s">
        <v>324</v>
      </c>
      <c r="H379" s="178" t="s">
        <v>325</v>
      </c>
      <c r="I379" s="175" t="s">
        <v>231</v>
      </c>
      <c r="J379" s="179" t="s">
        <v>352</v>
      </c>
      <c r="K379" s="179"/>
      <c r="L379" s="176" t="s">
        <v>520</v>
      </c>
      <c r="M379" s="180">
        <f t="shared" si="23"/>
        <v>144829.8166498109</v>
      </c>
      <c r="N379" s="181">
        <v>0</v>
      </c>
      <c r="O379" s="181">
        <v>0</v>
      </c>
      <c r="P379" s="181">
        <v>0</v>
      </c>
      <c r="Q379" s="181">
        <v>0</v>
      </c>
      <c r="R379" s="181">
        <v>0</v>
      </c>
      <c r="S379" s="182">
        <f t="shared" si="21"/>
        <v>144829.8166498109</v>
      </c>
      <c r="T379" s="183"/>
    </row>
    <row r="380" spans="1:20" ht="11.25">
      <c r="A380" s="175" t="s">
        <v>283</v>
      </c>
      <c r="B380" s="175">
        <v>17</v>
      </c>
      <c r="C380" s="176" t="s">
        <v>355</v>
      </c>
      <c r="D380" s="176" t="s">
        <v>322</v>
      </c>
      <c r="E380" s="186" t="s">
        <v>375</v>
      </c>
      <c r="F380" s="176"/>
      <c r="G380" s="176" t="s">
        <v>324</v>
      </c>
      <c r="H380" s="178" t="s">
        <v>325</v>
      </c>
      <c r="I380" s="175" t="s">
        <v>231</v>
      </c>
      <c r="J380" s="179" t="s">
        <v>352</v>
      </c>
      <c r="K380" s="179"/>
      <c r="L380" s="176" t="s">
        <v>520</v>
      </c>
      <c r="M380" s="180">
        <f t="shared" si="23"/>
        <v>148450.56206605615</v>
      </c>
      <c r="N380" s="181">
        <v>0</v>
      </c>
      <c r="O380" s="181">
        <v>0</v>
      </c>
      <c r="P380" s="181">
        <v>0</v>
      </c>
      <c r="Q380" s="181">
        <v>0</v>
      </c>
      <c r="R380" s="181">
        <v>0</v>
      </c>
      <c r="S380" s="182">
        <f t="shared" si="21"/>
        <v>148450.56206605615</v>
      </c>
      <c r="T380" s="183"/>
    </row>
    <row r="381" spans="1:20" ht="11.25">
      <c r="A381" s="175" t="s">
        <v>284</v>
      </c>
      <c r="B381" s="175">
        <v>18</v>
      </c>
      <c r="C381" s="176" t="s">
        <v>355</v>
      </c>
      <c r="D381" s="176" t="s">
        <v>322</v>
      </c>
      <c r="E381" s="186" t="s">
        <v>375</v>
      </c>
      <c r="F381" s="176"/>
      <c r="G381" s="176" t="s">
        <v>324</v>
      </c>
      <c r="H381" s="178" t="s">
        <v>325</v>
      </c>
      <c r="I381" s="175" t="s">
        <v>231</v>
      </c>
      <c r="J381" s="179" t="s">
        <v>352</v>
      </c>
      <c r="K381" s="179"/>
      <c r="L381" s="176" t="s">
        <v>520</v>
      </c>
      <c r="M381" s="180">
        <f t="shared" si="23"/>
        <v>152161.82611770753</v>
      </c>
      <c r="N381" s="181">
        <v>0</v>
      </c>
      <c r="O381" s="181">
        <v>0</v>
      </c>
      <c r="P381" s="181">
        <v>0</v>
      </c>
      <c r="Q381" s="181">
        <v>0</v>
      </c>
      <c r="R381" s="181">
        <v>0</v>
      </c>
      <c r="S381" s="182">
        <f t="shared" si="21"/>
        <v>152161.82611770753</v>
      </c>
      <c r="T381" s="183"/>
    </row>
    <row r="382" spans="1:20" ht="11.25">
      <c r="A382" s="175" t="s">
        <v>285</v>
      </c>
      <c r="B382" s="175">
        <v>19</v>
      </c>
      <c r="C382" s="176" t="s">
        <v>355</v>
      </c>
      <c r="D382" s="176" t="s">
        <v>322</v>
      </c>
      <c r="E382" s="186" t="s">
        <v>375</v>
      </c>
      <c r="F382" s="176"/>
      <c r="G382" s="176" t="s">
        <v>324</v>
      </c>
      <c r="H382" s="178" t="s">
        <v>325</v>
      </c>
      <c r="I382" s="175" t="s">
        <v>231</v>
      </c>
      <c r="J382" s="179" t="s">
        <v>352</v>
      </c>
      <c r="K382" s="179"/>
      <c r="L382" s="176" t="s">
        <v>520</v>
      </c>
      <c r="M382" s="180">
        <f t="shared" si="23"/>
        <v>155965.8717706502</v>
      </c>
      <c r="N382" s="181">
        <v>0</v>
      </c>
      <c r="O382" s="181">
        <v>0</v>
      </c>
      <c r="P382" s="181">
        <v>0</v>
      </c>
      <c r="Q382" s="181">
        <v>0</v>
      </c>
      <c r="R382" s="181">
        <v>0</v>
      </c>
      <c r="S382" s="182">
        <f t="shared" si="21"/>
        <v>155965.8717706502</v>
      </c>
      <c r="T382" s="183"/>
    </row>
    <row r="383" spans="1:20" ht="11.25">
      <c r="A383" s="175" t="s">
        <v>303</v>
      </c>
      <c r="B383" s="175">
        <v>20</v>
      </c>
      <c r="C383" s="176" t="s">
        <v>355</v>
      </c>
      <c r="D383" s="176" t="s">
        <v>322</v>
      </c>
      <c r="E383" s="186" t="s">
        <v>375</v>
      </c>
      <c r="F383" s="176"/>
      <c r="G383" s="176" t="s">
        <v>324</v>
      </c>
      <c r="H383" s="178" t="s">
        <v>325</v>
      </c>
      <c r="I383" s="175" t="s">
        <v>231</v>
      </c>
      <c r="J383" s="179" t="s">
        <v>352</v>
      </c>
      <c r="K383" s="179"/>
      <c r="L383" s="176" t="s">
        <v>520</v>
      </c>
      <c r="M383" s="180">
        <f t="shared" si="23"/>
        <v>159865.01856491645</v>
      </c>
      <c r="N383" s="181">
        <v>0</v>
      </c>
      <c r="O383" s="181">
        <v>0</v>
      </c>
      <c r="P383" s="181">
        <v>0</v>
      </c>
      <c r="Q383" s="181">
        <v>0</v>
      </c>
      <c r="R383" s="181">
        <v>0</v>
      </c>
      <c r="S383" s="182">
        <f t="shared" si="21"/>
        <v>159865.01856491645</v>
      </c>
      <c r="T383" s="183"/>
    </row>
    <row r="384" spans="1:20" ht="11.25">
      <c r="A384" s="175" t="s">
        <v>265</v>
      </c>
      <c r="B384" s="175">
        <v>0</v>
      </c>
      <c r="C384" s="176" t="s">
        <v>469</v>
      </c>
      <c r="D384" s="176" t="s">
        <v>331</v>
      </c>
      <c r="E384" s="176" t="s">
        <v>338</v>
      </c>
      <c r="F384" s="176"/>
      <c r="G384" s="176" t="s">
        <v>360</v>
      </c>
      <c r="H384" s="178" t="s">
        <v>325</v>
      </c>
      <c r="I384" s="175" t="s">
        <v>231</v>
      </c>
      <c r="J384" s="179" t="s">
        <v>326</v>
      </c>
      <c r="K384" s="179"/>
      <c r="L384" s="176" t="s">
        <v>363</v>
      </c>
      <c r="M384" s="180">
        <v>81120</v>
      </c>
      <c r="N384" s="181">
        <v>0</v>
      </c>
      <c r="O384" s="181">
        <v>0</v>
      </c>
      <c r="P384" s="181">
        <v>0</v>
      </c>
      <c r="Q384" s="181">
        <v>0</v>
      </c>
      <c r="R384" s="181">
        <v>0</v>
      </c>
      <c r="S384" s="182">
        <f t="shared" si="21"/>
        <v>81120</v>
      </c>
      <c r="T384" s="183"/>
    </row>
    <row r="385" spans="1:20" ht="11.25">
      <c r="A385" s="175" t="s">
        <v>267</v>
      </c>
      <c r="B385" s="175">
        <v>1</v>
      </c>
      <c r="C385" s="176" t="s">
        <v>469</v>
      </c>
      <c r="D385" s="176" t="s">
        <v>331</v>
      </c>
      <c r="E385" s="176" t="s">
        <v>338</v>
      </c>
      <c r="F385" s="176"/>
      <c r="G385" s="176" t="s">
        <v>360</v>
      </c>
      <c r="H385" s="178" t="s">
        <v>325</v>
      </c>
      <c r="I385" s="175" t="s">
        <v>231</v>
      </c>
      <c r="J385" s="179" t="s">
        <v>352</v>
      </c>
      <c r="K385" s="179"/>
      <c r="L385" s="176" t="s">
        <v>363</v>
      </c>
      <c r="M385" s="180">
        <v>100000</v>
      </c>
      <c r="N385" s="181">
        <v>0</v>
      </c>
      <c r="O385" s="181">
        <v>0</v>
      </c>
      <c r="P385" s="181">
        <v>0</v>
      </c>
      <c r="Q385" s="181">
        <v>0</v>
      </c>
      <c r="R385" s="181">
        <v>0</v>
      </c>
      <c r="S385" s="182">
        <f t="shared" si="21"/>
        <v>100000</v>
      </c>
      <c r="T385" s="183"/>
    </row>
    <row r="386" spans="1:20" ht="11.25">
      <c r="A386" s="175" t="s">
        <v>268</v>
      </c>
      <c r="B386" s="175">
        <v>2</v>
      </c>
      <c r="C386" s="176" t="s">
        <v>469</v>
      </c>
      <c r="D386" s="176" t="s">
        <v>331</v>
      </c>
      <c r="E386" s="176" t="s">
        <v>338</v>
      </c>
      <c r="F386" s="176"/>
      <c r="G386" s="176" t="s">
        <v>360</v>
      </c>
      <c r="H386" s="178" t="s">
        <v>325</v>
      </c>
      <c r="I386" s="175" t="s">
        <v>231</v>
      </c>
      <c r="J386" s="179" t="s">
        <v>352</v>
      </c>
      <c r="K386" s="179"/>
      <c r="L386" s="176" t="s">
        <v>363</v>
      </c>
      <c r="M386" s="180">
        <f aca="true" t="shared" si="24" ref="M386:M404">IF(J386="Y",M385*(1+$C$4),IF(J386="I",M385*(1+$E$4),M385))</f>
        <v>102499.99999999999</v>
      </c>
      <c r="N386" s="181">
        <v>0</v>
      </c>
      <c r="O386" s="181">
        <v>0</v>
      </c>
      <c r="P386" s="181">
        <v>0</v>
      </c>
      <c r="Q386" s="181">
        <v>0</v>
      </c>
      <c r="R386" s="181">
        <v>0</v>
      </c>
      <c r="S386" s="182">
        <f t="shared" si="21"/>
        <v>102499.99999999999</v>
      </c>
      <c r="T386" s="183"/>
    </row>
    <row r="387" spans="1:20" ht="11.25">
      <c r="A387" s="175" t="s">
        <v>269</v>
      </c>
      <c r="B387" s="175">
        <v>3</v>
      </c>
      <c r="C387" s="176" t="s">
        <v>469</v>
      </c>
      <c r="D387" s="176" t="s">
        <v>331</v>
      </c>
      <c r="E387" s="176" t="s">
        <v>338</v>
      </c>
      <c r="F387" s="176"/>
      <c r="G387" s="176" t="s">
        <v>360</v>
      </c>
      <c r="H387" s="178" t="s">
        <v>325</v>
      </c>
      <c r="I387" s="175" t="s">
        <v>231</v>
      </c>
      <c r="J387" s="179" t="s">
        <v>352</v>
      </c>
      <c r="K387" s="179"/>
      <c r="L387" s="176" t="s">
        <v>363</v>
      </c>
      <c r="M387" s="180">
        <f t="shared" si="24"/>
        <v>105062.49999999997</v>
      </c>
      <c r="N387" s="181">
        <v>0</v>
      </c>
      <c r="O387" s="181">
        <v>0</v>
      </c>
      <c r="P387" s="181">
        <v>0</v>
      </c>
      <c r="Q387" s="181">
        <v>0</v>
      </c>
      <c r="R387" s="181">
        <v>0</v>
      </c>
      <c r="S387" s="182">
        <f t="shared" si="21"/>
        <v>105062.49999999997</v>
      </c>
      <c r="T387" s="183"/>
    </row>
    <row r="388" spans="1:20" ht="11.25">
      <c r="A388" s="175" t="s">
        <v>270</v>
      </c>
      <c r="B388" s="175">
        <v>4</v>
      </c>
      <c r="C388" s="176" t="s">
        <v>469</v>
      </c>
      <c r="D388" s="176" t="s">
        <v>331</v>
      </c>
      <c r="E388" s="176" t="s">
        <v>338</v>
      </c>
      <c r="F388" s="176"/>
      <c r="G388" s="176" t="s">
        <v>360</v>
      </c>
      <c r="H388" s="178" t="s">
        <v>325</v>
      </c>
      <c r="I388" s="175" t="s">
        <v>231</v>
      </c>
      <c r="J388" s="179" t="s">
        <v>352</v>
      </c>
      <c r="K388" s="179"/>
      <c r="L388" s="176" t="s">
        <v>363</v>
      </c>
      <c r="M388" s="180">
        <f t="shared" si="24"/>
        <v>107689.06249999996</v>
      </c>
      <c r="N388" s="181">
        <v>0</v>
      </c>
      <c r="O388" s="181">
        <v>0</v>
      </c>
      <c r="P388" s="181">
        <v>0</v>
      </c>
      <c r="Q388" s="181">
        <v>0</v>
      </c>
      <c r="R388" s="181">
        <v>0</v>
      </c>
      <c r="S388" s="182">
        <f t="shared" si="21"/>
        <v>107689.06249999996</v>
      </c>
      <c r="T388" s="183"/>
    </row>
    <row r="389" spans="1:20" ht="11.25">
      <c r="A389" s="175" t="s">
        <v>271</v>
      </c>
      <c r="B389" s="175">
        <v>5</v>
      </c>
      <c r="C389" s="176" t="s">
        <v>469</v>
      </c>
      <c r="D389" s="176" t="s">
        <v>331</v>
      </c>
      <c r="E389" s="176" t="s">
        <v>338</v>
      </c>
      <c r="F389" s="176"/>
      <c r="G389" s="176" t="s">
        <v>360</v>
      </c>
      <c r="H389" s="178" t="s">
        <v>325</v>
      </c>
      <c r="I389" s="175" t="s">
        <v>231</v>
      </c>
      <c r="J389" s="179" t="s">
        <v>352</v>
      </c>
      <c r="K389" s="179"/>
      <c r="L389" s="176" t="s">
        <v>363</v>
      </c>
      <c r="M389" s="180">
        <f t="shared" si="24"/>
        <v>110381.28906249994</v>
      </c>
      <c r="N389" s="181">
        <v>0</v>
      </c>
      <c r="O389" s="181">
        <v>0</v>
      </c>
      <c r="P389" s="181">
        <v>0</v>
      </c>
      <c r="Q389" s="181">
        <v>0</v>
      </c>
      <c r="R389" s="181">
        <v>0</v>
      </c>
      <c r="S389" s="182">
        <f t="shared" si="21"/>
        <v>110381.28906249994</v>
      </c>
      <c r="T389" s="183"/>
    </row>
    <row r="390" spans="1:20" ht="11.25">
      <c r="A390" s="175" t="s">
        <v>272</v>
      </c>
      <c r="B390" s="175">
        <v>6</v>
      </c>
      <c r="C390" s="176" t="s">
        <v>469</v>
      </c>
      <c r="D390" s="176" t="s">
        <v>331</v>
      </c>
      <c r="E390" s="176" t="s">
        <v>338</v>
      </c>
      <c r="F390" s="176"/>
      <c r="G390" s="176" t="s">
        <v>360</v>
      </c>
      <c r="H390" s="178" t="s">
        <v>325</v>
      </c>
      <c r="I390" s="175" t="s">
        <v>231</v>
      </c>
      <c r="J390" s="179" t="s">
        <v>352</v>
      </c>
      <c r="K390" s="179"/>
      <c r="L390" s="176" t="s">
        <v>363</v>
      </c>
      <c r="M390" s="180">
        <f t="shared" si="24"/>
        <v>113140.82128906243</v>
      </c>
      <c r="N390" s="181">
        <v>0</v>
      </c>
      <c r="O390" s="181">
        <v>0</v>
      </c>
      <c r="P390" s="181">
        <v>0</v>
      </c>
      <c r="Q390" s="181">
        <v>0</v>
      </c>
      <c r="R390" s="181">
        <v>0</v>
      </c>
      <c r="S390" s="182">
        <f t="shared" si="21"/>
        <v>113140.82128906243</v>
      </c>
      <c r="T390" s="183"/>
    </row>
    <row r="391" spans="1:20" ht="11.25">
      <c r="A391" s="175" t="s">
        <v>273</v>
      </c>
      <c r="B391" s="175">
        <v>7</v>
      </c>
      <c r="C391" s="176" t="s">
        <v>469</v>
      </c>
      <c r="D391" s="176" t="s">
        <v>331</v>
      </c>
      <c r="E391" s="176" t="s">
        <v>338</v>
      </c>
      <c r="F391" s="176"/>
      <c r="G391" s="176" t="s">
        <v>360</v>
      </c>
      <c r="H391" s="178" t="s">
        <v>325</v>
      </c>
      <c r="I391" s="175" t="s">
        <v>231</v>
      </c>
      <c r="J391" s="179" t="s">
        <v>352</v>
      </c>
      <c r="K391" s="179"/>
      <c r="L391" s="176" t="s">
        <v>363</v>
      </c>
      <c r="M391" s="180">
        <f t="shared" si="24"/>
        <v>115969.34182128898</v>
      </c>
      <c r="N391" s="181">
        <v>0</v>
      </c>
      <c r="O391" s="181">
        <v>0</v>
      </c>
      <c r="P391" s="181">
        <v>0</v>
      </c>
      <c r="Q391" s="181">
        <v>0</v>
      </c>
      <c r="R391" s="181">
        <v>0</v>
      </c>
      <c r="S391" s="182">
        <f t="shared" si="21"/>
        <v>115969.34182128898</v>
      </c>
      <c r="T391" s="183"/>
    </row>
    <row r="392" spans="1:20" ht="11.25">
      <c r="A392" s="175" t="s">
        <v>274</v>
      </c>
      <c r="B392" s="175">
        <v>8</v>
      </c>
      <c r="C392" s="176" t="s">
        <v>469</v>
      </c>
      <c r="D392" s="176" t="s">
        <v>331</v>
      </c>
      <c r="E392" s="176" t="s">
        <v>338</v>
      </c>
      <c r="F392" s="176"/>
      <c r="G392" s="176" t="s">
        <v>360</v>
      </c>
      <c r="H392" s="178" t="s">
        <v>325</v>
      </c>
      <c r="I392" s="175" t="s">
        <v>231</v>
      </c>
      <c r="J392" s="179" t="s">
        <v>352</v>
      </c>
      <c r="K392" s="179"/>
      <c r="L392" s="176" t="s">
        <v>363</v>
      </c>
      <c r="M392" s="180">
        <f t="shared" si="24"/>
        <v>118868.5753668212</v>
      </c>
      <c r="N392" s="181">
        <v>0</v>
      </c>
      <c r="O392" s="181">
        <v>0</v>
      </c>
      <c r="P392" s="181">
        <v>0</v>
      </c>
      <c r="Q392" s="181">
        <v>0</v>
      </c>
      <c r="R392" s="181">
        <v>0</v>
      </c>
      <c r="S392" s="182">
        <f t="shared" si="21"/>
        <v>118868.5753668212</v>
      </c>
      <c r="T392" s="183"/>
    </row>
    <row r="393" spans="1:20" ht="11.25">
      <c r="A393" s="175" t="s">
        <v>275</v>
      </c>
      <c r="B393" s="175">
        <v>9</v>
      </c>
      <c r="C393" s="176" t="s">
        <v>469</v>
      </c>
      <c r="D393" s="176" t="s">
        <v>331</v>
      </c>
      <c r="E393" s="176" t="s">
        <v>338</v>
      </c>
      <c r="F393" s="176"/>
      <c r="G393" s="176" t="s">
        <v>360</v>
      </c>
      <c r="H393" s="178" t="s">
        <v>325</v>
      </c>
      <c r="I393" s="175" t="s">
        <v>231</v>
      </c>
      <c r="J393" s="179" t="s">
        <v>352</v>
      </c>
      <c r="K393" s="179"/>
      <c r="L393" s="176" t="s">
        <v>363</v>
      </c>
      <c r="M393" s="180">
        <f t="shared" si="24"/>
        <v>121840.28975099172</v>
      </c>
      <c r="N393" s="181">
        <v>0</v>
      </c>
      <c r="O393" s="181">
        <v>0</v>
      </c>
      <c r="P393" s="181">
        <v>0</v>
      </c>
      <c r="Q393" s="181">
        <v>0</v>
      </c>
      <c r="R393" s="181">
        <v>0</v>
      </c>
      <c r="S393" s="182">
        <f t="shared" si="21"/>
        <v>121840.28975099172</v>
      </c>
      <c r="T393" s="183"/>
    </row>
    <row r="394" spans="1:20" ht="11.25">
      <c r="A394" s="175" t="s">
        <v>276</v>
      </c>
      <c r="B394" s="175">
        <v>10</v>
      </c>
      <c r="C394" s="176" t="s">
        <v>469</v>
      </c>
      <c r="D394" s="176" t="s">
        <v>331</v>
      </c>
      <c r="E394" s="176" t="s">
        <v>338</v>
      </c>
      <c r="F394" s="176"/>
      <c r="G394" s="176" t="s">
        <v>360</v>
      </c>
      <c r="H394" s="178" t="s">
        <v>325</v>
      </c>
      <c r="I394" s="175" t="s">
        <v>231</v>
      </c>
      <c r="J394" s="179" t="s">
        <v>352</v>
      </c>
      <c r="K394" s="179"/>
      <c r="L394" s="176" t="s">
        <v>363</v>
      </c>
      <c r="M394" s="180">
        <f t="shared" si="24"/>
        <v>124886.29699476651</v>
      </c>
      <c r="N394" s="181">
        <v>0</v>
      </c>
      <c r="O394" s="181">
        <v>0</v>
      </c>
      <c r="P394" s="181">
        <v>0</v>
      </c>
      <c r="Q394" s="181">
        <v>0</v>
      </c>
      <c r="R394" s="181">
        <v>0</v>
      </c>
      <c r="S394" s="182">
        <f t="shared" si="21"/>
        <v>124886.29699476651</v>
      </c>
      <c r="T394" s="183"/>
    </row>
    <row r="395" spans="1:20" ht="11.25">
      <c r="A395" s="175" t="s">
        <v>277</v>
      </c>
      <c r="B395" s="175">
        <v>11</v>
      </c>
      <c r="C395" s="176" t="s">
        <v>469</v>
      </c>
      <c r="D395" s="176" t="s">
        <v>331</v>
      </c>
      <c r="E395" s="176" t="s">
        <v>338</v>
      </c>
      <c r="F395" s="176"/>
      <c r="G395" s="176" t="s">
        <v>360</v>
      </c>
      <c r="H395" s="178" t="s">
        <v>325</v>
      </c>
      <c r="I395" s="175" t="s">
        <v>231</v>
      </c>
      <c r="J395" s="179" t="s">
        <v>352</v>
      </c>
      <c r="K395" s="179"/>
      <c r="L395" s="176" t="s">
        <v>363</v>
      </c>
      <c r="M395" s="180">
        <f t="shared" si="24"/>
        <v>128008.45441963566</v>
      </c>
      <c r="N395" s="181">
        <v>0</v>
      </c>
      <c r="O395" s="181">
        <v>0</v>
      </c>
      <c r="P395" s="181">
        <v>0</v>
      </c>
      <c r="Q395" s="181">
        <v>0</v>
      </c>
      <c r="R395" s="181">
        <v>0</v>
      </c>
      <c r="S395" s="182">
        <f t="shared" si="21"/>
        <v>128008.45441963566</v>
      </c>
      <c r="T395" s="183"/>
    </row>
    <row r="396" spans="1:20" ht="11.25">
      <c r="A396" s="175" t="s">
        <v>278</v>
      </c>
      <c r="B396" s="175">
        <v>12</v>
      </c>
      <c r="C396" s="176" t="s">
        <v>469</v>
      </c>
      <c r="D396" s="176" t="s">
        <v>331</v>
      </c>
      <c r="E396" s="176" t="s">
        <v>338</v>
      </c>
      <c r="F396" s="176"/>
      <c r="G396" s="176" t="s">
        <v>360</v>
      </c>
      <c r="H396" s="178" t="s">
        <v>325</v>
      </c>
      <c r="I396" s="175" t="s">
        <v>231</v>
      </c>
      <c r="J396" s="179" t="s">
        <v>352</v>
      </c>
      <c r="K396" s="179"/>
      <c r="L396" s="176" t="s">
        <v>363</v>
      </c>
      <c r="M396" s="180">
        <f t="shared" si="24"/>
        <v>131208.66578012652</v>
      </c>
      <c r="N396" s="181">
        <v>0</v>
      </c>
      <c r="O396" s="181">
        <v>0</v>
      </c>
      <c r="P396" s="181">
        <v>0</v>
      </c>
      <c r="Q396" s="181">
        <v>0</v>
      </c>
      <c r="R396" s="181">
        <v>0</v>
      </c>
      <c r="S396" s="182">
        <f t="shared" si="21"/>
        <v>131208.66578012652</v>
      </c>
      <c r="T396" s="183"/>
    </row>
    <row r="397" spans="1:20" ht="11.25">
      <c r="A397" s="175" t="s">
        <v>279</v>
      </c>
      <c r="B397" s="175">
        <v>13</v>
      </c>
      <c r="C397" s="176" t="s">
        <v>469</v>
      </c>
      <c r="D397" s="176" t="s">
        <v>331</v>
      </c>
      <c r="E397" s="176" t="s">
        <v>338</v>
      </c>
      <c r="F397" s="176"/>
      <c r="G397" s="176" t="s">
        <v>360</v>
      </c>
      <c r="H397" s="178" t="s">
        <v>325</v>
      </c>
      <c r="I397" s="175" t="s">
        <v>231</v>
      </c>
      <c r="J397" s="179" t="s">
        <v>352</v>
      </c>
      <c r="K397" s="179"/>
      <c r="L397" s="176" t="s">
        <v>363</v>
      </c>
      <c r="M397" s="180">
        <f t="shared" si="24"/>
        <v>134488.88242462967</v>
      </c>
      <c r="N397" s="181">
        <v>0</v>
      </c>
      <c r="O397" s="181">
        <v>0</v>
      </c>
      <c r="P397" s="181">
        <v>0</v>
      </c>
      <c r="Q397" s="181">
        <v>0</v>
      </c>
      <c r="R397" s="181">
        <v>0</v>
      </c>
      <c r="S397" s="182">
        <f t="shared" si="21"/>
        <v>134488.88242462967</v>
      </c>
      <c r="T397" s="183"/>
    </row>
    <row r="398" spans="1:20" ht="11.25">
      <c r="A398" s="175" t="s">
        <v>280</v>
      </c>
      <c r="B398" s="175">
        <v>14</v>
      </c>
      <c r="C398" s="176" t="s">
        <v>469</v>
      </c>
      <c r="D398" s="176" t="s">
        <v>331</v>
      </c>
      <c r="E398" s="176" t="s">
        <v>338</v>
      </c>
      <c r="F398" s="176"/>
      <c r="G398" s="176" t="s">
        <v>360</v>
      </c>
      <c r="H398" s="178" t="s">
        <v>325</v>
      </c>
      <c r="I398" s="175" t="s">
        <v>231</v>
      </c>
      <c r="J398" s="179" t="s">
        <v>352</v>
      </c>
      <c r="K398" s="179"/>
      <c r="L398" s="176" t="s">
        <v>363</v>
      </c>
      <c r="M398" s="180">
        <f t="shared" si="24"/>
        <v>137851.1044852454</v>
      </c>
      <c r="N398" s="181">
        <v>0</v>
      </c>
      <c r="O398" s="181">
        <v>0</v>
      </c>
      <c r="P398" s="181">
        <v>0</v>
      </c>
      <c r="Q398" s="181">
        <v>0</v>
      </c>
      <c r="R398" s="181">
        <v>0</v>
      </c>
      <c r="S398" s="182">
        <f t="shared" si="21"/>
        <v>137851.1044852454</v>
      </c>
      <c r="T398" s="183"/>
    </row>
    <row r="399" spans="1:20" ht="11.25">
      <c r="A399" s="175" t="s">
        <v>281</v>
      </c>
      <c r="B399" s="175">
        <v>15</v>
      </c>
      <c r="C399" s="176" t="s">
        <v>469</v>
      </c>
      <c r="D399" s="176" t="s">
        <v>331</v>
      </c>
      <c r="E399" s="176" t="s">
        <v>338</v>
      </c>
      <c r="F399" s="176"/>
      <c r="G399" s="176" t="s">
        <v>360</v>
      </c>
      <c r="H399" s="178" t="s">
        <v>325</v>
      </c>
      <c r="I399" s="175" t="s">
        <v>231</v>
      </c>
      <c r="J399" s="179" t="s">
        <v>352</v>
      </c>
      <c r="K399" s="179"/>
      <c r="L399" s="176" t="s">
        <v>363</v>
      </c>
      <c r="M399" s="180">
        <f t="shared" si="24"/>
        <v>141297.3820973765</v>
      </c>
      <c r="N399" s="181">
        <v>0</v>
      </c>
      <c r="O399" s="181">
        <v>0</v>
      </c>
      <c r="P399" s="181">
        <v>0</v>
      </c>
      <c r="Q399" s="181">
        <v>0</v>
      </c>
      <c r="R399" s="181">
        <v>0</v>
      </c>
      <c r="S399" s="182">
        <f t="shared" si="21"/>
        <v>141297.3820973765</v>
      </c>
      <c r="T399" s="183"/>
    </row>
    <row r="400" spans="1:20" ht="11.25">
      <c r="A400" s="175" t="s">
        <v>282</v>
      </c>
      <c r="B400" s="175">
        <v>16</v>
      </c>
      <c r="C400" s="176" t="s">
        <v>469</v>
      </c>
      <c r="D400" s="176" t="s">
        <v>331</v>
      </c>
      <c r="E400" s="176" t="s">
        <v>338</v>
      </c>
      <c r="F400" s="176"/>
      <c r="G400" s="176" t="s">
        <v>360</v>
      </c>
      <c r="H400" s="178" t="s">
        <v>325</v>
      </c>
      <c r="I400" s="175" t="s">
        <v>231</v>
      </c>
      <c r="J400" s="179" t="s">
        <v>352</v>
      </c>
      <c r="K400" s="179"/>
      <c r="L400" s="176" t="s">
        <v>363</v>
      </c>
      <c r="M400" s="180">
        <f t="shared" si="24"/>
        <v>144829.8166498109</v>
      </c>
      <c r="N400" s="181">
        <v>0</v>
      </c>
      <c r="O400" s="181">
        <v>0</v>
      </c>
      <c r="P400" s="181">
        <v>0</v>
      </c>
      <c r="Q400" s="181">
        <v>0</v>
      </c>
      <c r="R400" s="181">
        <v>0</v>
      </c>
      <c r="S400" s="182">
        <f t="shared" si="21"/>
        <v>144829.8166498109</v>
      </c>
      <c r="T400" s="183"/>
    </row>
    <row r="401" spans="1:20" ht="11.25">
      <c r="A401" s="175" t="s">
        <v>283</v>
      </c>
      <c r="B401" s="175">
        <v>17</v>
      </c>
      <c r="C401" s="176" t="s">
        <v>469</v>
      </c>
      <c r="D401" s="176" t="s">
        <v>331</v>
      </c>
      <c r="E401" s="176" t="s">
        <v>338</v>
      </c>
      <c r="F401" s="176"/>
      <c r="G401" s="176" t="s">
        <v>360</v>
      </c>
      <c r="H401" s="178" t="s">
        <v>325</v>
      </c>
      <c r="I401" s="175" t="s">
        <v>231</v>
      </c>
      <c r="J401" s="179" t="s">
        <v>352</v>
      </c>
      <c r="K401" s="179"/>
      <c r="L401" s="176" t="s">
        <v>363</v>
      </c>
      <c r="M401" s="180">
        <f t="shared" si="24"/>
        <v>148450.56206605615</v>
      </c>
      <c r="N401" s="181">
        <v>0</v>
      </c>
      <c r="O401" s="181">
        <v>0</v>
      </c>
      <c r="P401" s="181">
        <v>0</v>
      </c>
      <c r="Q401" s="181">
        <v>0</v>
      </c>
      <c r="R401" s="181">
        <v>0</v>
      </c>
      <c r="S401" s="182">
        <f t="shared" si="21"/>
        <v>148450.56206605615</v>
      </c>
      <c r="T401" s="183"/>
    </row>
    <row r="402" spans="1:20" ht="11.25">
      <c r="A402" s="175" t="s">
        <v>284</v>
      </c>
      <c r="B402" s="175">
        <v>18</v>
      </c>
      <c r="C402" s="176" t="s">
        <v>469</v>
      </c>
      <c r="D402" s="176" t="s">
        <v>331</v>
      </c>
      <c r="E402" s="176" t="s">
        <v>338</v>
      </c>
      <c r="F402" s="176"/>
      <c r="G402" s="176" t="s">
        <v>360</v>
      </c>
      <c r="H402" s="178" t="s">
        <v>325</v>
      </c>
      <c r="I402" s="175" t="s">
        <v>231</v>
      </c>
      <c r="J402" s="179" t="s">
        <v>352</v>
      </c>
      <c r="K402" s="179"/>
      <c r="L402" s="176" t="s">
        <v>363</v>
      </c>
      <c r="M402" s="180">
        <f t="shared" si="24"/>
        <v>152161.82611770753</v>
      </c>
      <c r="N402" s="181">
        <v>0</v>
      </c>
      <c r="O402" s="181">
        <v>0</v>
      </c>
      <c r="P402" s="181">
        <v>0</v>
      </c>
      <c r="Q402" s="181">
        <v>0</v>
      </c>
      <c r="R402" s="181">
        <v>0</v>
      </c>
      <c r="S402" s="182">
        <f t="shared" si="21"/>
        <v>152161.82611770753</v>
      </c>
      <c r="T402" s="183"/>
    </row>
    <row r="403" spans="1:20" ht="11.25">
      <c r="A403" s="175" t="s">
        <v>285</v>
      </c>
      <c r="B403" s="175">
        <v>19</v>
      </c>
      <c r="C403" s="176" t="s">
        <v>469</v>
      </c>
      <c r="D403" s="176" t="s">
        <v>331</v>
      </c>
      <c r="E403" s="176" t="s">
        <v>338</v>
      </c>
      <c r="F403" s="176"/>
      <c r="G403" s="176" t="s">
        <v>360</v>
      </c>
      <c r="H403" s="178" t="s">
        <v>325</v>
      </c>
      <c r="I403" s="175" t="s">
        <v>231</v>
      </c>
      <c r="J403" s="179" t="s">
        <v>352</v>
      </c>
      <c r="K403" s="179"/>
      <c r="L403" s="176" t="s">
        <v>363</v>
      </c>
      <c r="M403" s="180">
        <f t="shared" si="24"/>
        <v>155965.8717706502</v>
      </c>
      <c r="N403" s="181">
        <v>0</v>
      </c>
      <c r="O403" s="181">
        <v>0</v>
      </c>
      <c r="P403" s="181">
        <v>0</v>
      </c>
      <c r="Q403" s="181">
        <v>0</v>
      </c>
      <c r="R403" s="181">
        <v>0</v>
      </c>
      <c r="S403" s="182">
        <f t="shared" si="21"/>
        <v>155965.8717706502</v>
      </c>
      <c r="T403" s="183"/>
    </row>
    <row r="404" spans="1:20" ht="11.25">
      <c r="A404" s="175" t="s">
        <v>303</v>
      </c>
      <c r="B404" s="175">
        <v>20</v>
      </c>
      <c r="C404" s="176" t="s">
        <v>469</v>
      </c>
      <c r="D404" s="176" t="s">
        <v>331</v>
      </c>
      <c r="E404" s="176" t="s">
        <v>338</v>
      </c>
      <c r="F404" s="176"/>
      <c r="G404" s="176" t="s">
        <v>360</v>
      </c>
      <c r="H404" s="178" t="s">
        <v>325</v>
      </c>
      <c r="I404" s="175" t="s">
        <v>231</v>
      </c>
      <c r="J404" s="179" t="s">
        <v>352</v>
      </c>
      <c r="K404" s="179"/>
      <c r="L404" s="176" t="s">
        <v>363</v>
      </c>
      <c r="M404" s="180">
        <f t="shared" si="24"/>
        <v>159865.01856491645</v>
      </c>
      <c r="N404" s="181">
        <v>0</v>
      </c>
      <c r="O404" s="181">
        <v>0</v>
      </c>
      <c r="P404" s="181">
        <v>0</v>
      </c>
      <c r="Q404" s="181">
        <v>0</v>
      </c>
      <c r="R404" s="181">
        <v>0</v>
      </c>
      <c r="S404" s="182">
        <f t="shared" si="21"/>
        <v>159865.01856491645</v>
      </c>
      <c r="T404" s="183"/>
    </row>
    <row r="405" spans="1:20" ht="11.25">
      <c r="A405" s="175" t="s">
        <v>265</v>
      </c>
      <c r="B405" s="175">
        <v>0</v>
      </c>
      <c r="C405" s="176" t="s">
        <v>469</v>
      </c>
      <c r="D405" s="176" t="s">
        <v>364</v>
      </c>
      <c r="E405" s="177" t="s">
        <v>365</v>
      </c>
      <c r="F405" s="177"/>
      <c r="G405" s="176" t="s">
        <v>360</v>
      </c>
      <c r="H405" s="178" t="s">
        <v>325</v>
      </c>
      <c r="I405" s="175" t="s">
        <v>231</v>
      </c>
      <c r="J405" s="179" t="s">
        <v>326</v>
      </c>
      <c r="K405" s="179"/>
      <c r="L405" s="176" t="s">
        <v>366</v>
      </c>
      <c r="M405" s="180">
        <v>2000000</v>
      </c>
      <c r="N405" s="181">
        <v>0</v>
      </c>
      <c r="O405" s="181">
        <v>0</v>
      </c>
      <c r="P405" s="181">
        <v>0</v>
      </c>
      <c r="Q405" s="181">
        <v>0</v>
      </c>
      <c r="R405" s="181">
        <v>0</v>
      </c>
      <c r="S405" s="182">
        <f t="shared" si="21"/>
        <v>2000000</v>
      </c>
      <c r="T405" s="183"/>
    </row>
    <row r="406" spans="1:20" ht="11.25">
      <c r="A406" s="175" t="s">
        <v>267</v>
      </c>
      <c r="B406" s="175">
        <v>1</v>
      </c>
      <c r="C406" s="176" t="s">
        <v>469</v>
      </c>
      <c r="D406" s="176" t="s">
        <v>364</v>
      </c>
      <c r="E406" s="177" t="s">
        <v>365</v>
      </c>
      <c r="F406" s="177"/>
      <c r="G406" s="176" t="s">
        <v>360</v>
      </c>
      <c r="H406" s="178" t="s">
        <v>325</v>
      </c>
      <c r="I406" s="175" t="s">
        <v>231</v>
      </c>
      <c r="J406" s="179" t="s">
        <v>231</v>
      </c>
      <c r="K406" s="179"/>
      <c r="L406" s="176" t="s">
        <v>366</v>
      </c>
      <c r="M406" s="180">
        <f>IF(J406="Y",M405*(1+$F$4),IF(J406="I",M405*(1+$E$4),M405))</f>
        <v>2080000</v>
      </c>
      <c r="N406" s="181">
        <v>0</v>
      </c>
      <c r="O406" s="181">
        <v>0</v>
      </c>
      <c r="P406" s="181">
        <v>0</v>
      </c>
      <c r="Q406" s="181">
        <v>0</v>
      </c>
      <c r="R406" s="181">
        <v>0</v>
      </c>
      <c r="S406" s="182">
        <f t="shared" si="21"/>
        <v>2080000</v>
      </c>
      <c r="T406" s="183"/>
    </row>
    <row r="407" spans="1:20" ht="11.25">
      <c r="A407" s="175" t="s">
        <v>268</v>
      </c>
      <c r="B407" s="175">
        <v>2</v>
      </c>
      <c r="C407" s="176" t="s">
        <v>469</v>
      </c>
      <c r="D407" s="176" t="s">
        <v>364</v>
      </c>
      <c r="E407" s="177" t="s">
        <v>365</v>
      </c>
      <c r="F407" s="177"/>
      <c r="G407" s="176" t="s">
        <v>360</v>
      </c>
      <c r="H407" s="178" t="s">
        <v>325</v>
      </c>
      <c r="I407" s="175" t="s">
        <v>231</v>
      </c>
      <c r="J407" s="179" t="s">
        <v>231</v>
      </c>
      <c r="K407" s="179"/>
      <c r="L407" s="176" t="s">
        <v>366</v>
      </c>
      <c r="M407" s="180">
        <f aca="true" t="shared" si="25" ref="M407:M425">IF(J407="Y",M406*(1+$C$4),IF(J407="I",M406*(1+$E$4),M406))</f>
        <v>2163200</v>
      </c>
      <c r="N407" s="181">
        <v>0</v>
      </c>
      <c r="O407" s="181">
        <v>0</v>
      </c>
      <c r="P407" s="181">
        <v>0</v>
      </c>
      <c r="Q407" s="181">
        <v>0</v>
      </c>
      <c r="R407" s="181">
        <v>0</v>
      </c>
      <c r="S407" s="182">
        <f t="shared" si="21"/>
        <v>2163200</v>
      </c>
      <c r="T407" s="183"/>
    </row>
    <row r="408" spans="1:20" ht="11.25">
      <c r="A408" s="175" t="s">
        <v>269</v>
      </c>
      <c r="B408" s="175">
        <v>3</v>
      </c>
      <c r="C408" s="176" t="s">
        <v>469</v>
      </c>
      <c r="D408" s="176" t="s">
        <v>364</v>
      </c>
      <c r="E408" s="177" t="s">
        <v>365</v>
      </c>
      <c r="F408" s="177"/>
      <c r="G408" s="176" t="s">
        <v>360</v>
      </c>
      <c r="H408" s="178" t="s">
        <v>325</v>
      </c>
      <c r="I408" s="175" t="s">
        <v>231</v>
      </c>
      <c r="J408" s="179" t="s">
        <v>231</v>
      </c>
      <c r="K408" s="179"/>
      <c r="L408" s="176" t="s">
        <v>366</v>
      </c>
      <c r="M408" s="180">
        <f t="shared" si="25"/>
        <v>2249728</v>
      </c>
      <c r="N408" s="181">
        <v>0</v>
      </c>
      <c r="O408" s="181">
        <v>0</v>
      </c>
      <c r="P408" s="181">
        <v>0</v>
      </c>
      <c r="Q408" s="181">
        <v>0</v>
      </c>
      <c r="R408" s="181">
        <v>0</v>
      </c>
      <c r="S408" s="182">
        <f t="shared" si="21"/>
        <v>2249728</v>
      </c>
      <c r="T408" s="183"/>
    </row>
    <row r="409" spans="1:20" ht="11.25">
      <c r="A409" s="175" t="s">
        <v>270</v>
      </c>
      <c r="B409" s="175">
        <v>4</v>
      </c>
      <c r="C409" s="176" t="s">
        <v>469</v>
      </c>
      <c r="D409" s="176" t="s">
        <v>364</v>
      </c>
      <c r="E409" s="177" t="s">
        <v>365</v>
      </c>
      <c r="F409" s="177"/>
      <c r="G409" s="176" t="s">
        <v>360</v>
      </c>
      <c r="H409" s="178" t="s">
        <v>325</v>
      </c>
      <c r="I409" s="175" t="s">
        <v>231</v>
      </c>
      <c r="J409" s="179" t="s">
        <v>231</v>
      </c>
      <c r="K409" s="179"/>
      <c r="L409" s="176" t="s">
        <v>366</v>
      </c>
      <c r="M409" s="180">
        <f t="shared" si="25"/>
        <v>2339717.12</v>
      </c>
      <c r="N409" s="181">
        <v>0</v>
      </c>
      <c r="O409" s="181">
        <v>0</v>
      </c>
      <c r="P409" s="181">
        <v>0</v>
      </c>
      <c r="Q409" s="181">
        <v>0</v>
      </c>
      <c r="R409" s="181">
        <v>0</v>
      </c>
      <c r="S409" s="182">
        <f t="shared" si="21"/>
        <v>2339717.12</v>
      </c>
      <c r="T409" s="183"/>
    </row>
    <row r="410" spans="1:20" ht="11.25">
      <c r="A410" s="175" t="s">
        <v>271</v>
      </c>
      <c r="B410" s="175">
        <v>5</v>
      </c>
      <c r="C410" s="176" t="s">
        <v>469</v>
      </c>
      <c r="D410" s="176" t="s">
        <v>364</v>
      </c>
      <c r="E410" s="177" t="s">
        <v>365</v>
      </c>
      <c r="F410" s="177"/>
      <c r="G410" s="176" t="s">
        <v>360</v>
      </c>
      <c r="H410" s="178" t="s">
        <v>325</v>
      </c>
      <c r="I410" s="175" t="s">
        <v>231</v>
      </c>
      <c r="J410" s="179" t="s">
        <v>231</v>
      </c>
      <c r="K410" s="179"/>
      <c r="L410" s="176" t="s">
        <v>366</v>
      </c>
      <c r="M410" s="180">
        <f t="shared" si="25"/>
        <v>2433305.8048</v>
      </c>
      <c r="N410" s="181">
        <v>0</v>
      </c>
      <c r="O410" s="181">
        <v>0</v>
      </c>
      <c r="P410" s="181">
        <v>0</v>
      </c>
      <c r="Q410" s="181">
        <v>0</v>
      </c>
      <c r="R410" s="181">
        <v>0</v>
      </c>
      <c r="S410" s="182">
        <f t="shared" si="21"/>
        <v>2433305.8048</v>
      </c>
      <c r="T410" s="183"/>
    </row>
    <row r="411" spans="1:20" ht="11.25">
      <c r="A411" s="175" t="s">
        <v>272</v>
      </c>
      <c r="B411" s="175">
        <v>6</v>
      </c>
      <c r="C411" s="176" t="s">
        <v>469</v>
      </c>
      <c r="D411" s="176" t="s">
        <v>364</v>
      </c>
      <c r="E411" s="177" t="s">
        <v>365</v>
      </c>
      <c r="F411" s="177"/>
      <c r="G411" s="176" t="s">
        <v>360</v>
      </c>
      <c r="H411" s="178" t="s">
        <v>325</v>
      </c>
      <c r="I411" s="175" t="s">
        <v>231</v>
      </c>
      <c r="J411" s="179" t="s">
        <v>231</v>
      </c>
      <c r="K411" s="179"/>
      <c r="L411" s="176" t="s">
        <v>366</v>
      </c>
      <c r="M411" s="180">
        <f t="shared" si="25"/>
        <v>2530638.036992</v>
      </c>
      <c r="N411" s="181">
        <v>0</v>
      </c>
      <c r="O411" s="181">
        <v>0</v>
      </c>
      <c r="P411" s="181">
        <v>0</v>
      </c>
      <c r="Q411" s="181">
        <v>0</v>
      </c>
      <c r="R411" s="181">
        <v>0</v>
      </c>
      <c r="S411" s="182">
        <f aca="true" t="shared" si="26" ref="S411:S474">M411-SUM(N411:R411)</f>
        <v>2530638.036992</v>
      </c>
      <c r="T411" s="183"/>
    </row>
    <row r="412" spans="1:20" ht="11.25">
      <c r="A412" s="175" t="s">
        <v>273</v>
      </c>
      <c r="B412" s="175">
        <v>7</v>
      </c>
      <c r="C412" s="176" t="s">
        <v>469</v>
      </c>
      <c r="D412" s="176" t="s">
        <v>364</v>
      </c>
      <c r="E412" s="177" t="s">
        <v>365</v>
      </c>
      <c r="F412" s="177"/>
      <c r="G412" s="176" t="s">
        <v>360</v>
      </c>
      <c r="H412" s="178" t="s">
        <v>325</v>
      </c>
      <c r="I412" s="175" t="s">
        <v>231</v>
      </c>
      <c r="J412" s="179" t="s">
        <v>231</v>
      </c>
      <c r="K412" s="179"/>
      <c r="L412" s="176" t="s">
        <v>366</v>
      </c>
      <c r="M412" s="180">
        <f t="shared" si="25"/>
        <v>2631863.55847168</v>
      </c>
      <c r="N412" s="181">
        <v>0</v>
      </c>
      <c r="O412" s="181">
        <v>0</v>
      </c>
      <c r="P412" s="181">
        <v>0</v>
      </c>
      <c r="Q412" s="181">
        <v>0</v>
      </c>
      <c r="R412" s="181">
        <v>0</v>
      </c>
      <c r="S412" s="182">
        <f t="shared" si="26"/>
        <v>2631863.55847168</v>
      </c>
      <c r="T412" s="183"/>
    </row>
    <row r="413" spans="1:20" ht="11.25">
      <c r="A413" s="175" t="s">
        <v>274</v>
      </c>
      <c r="B413" s="175">
        <v>8</v>
      </c>
      <c r="C413" s="176" t="s">
        <v>469</v>
      </c>
      <c r="D413" s="176" t="s">
        <v>364</v>
      </c>
      <c r="E413" s="177" t="s">
        <v>365</v>
      </c>
      <c r="F413" s="177"/>
      <c r="G413" s="176" t="s">
        <v>360</v>
      </c>
      <c r="H413" s="178" t="s">
        <v>325</v>
      </c>
      <c r="I413" s="175" t="s">
        <v>231</v>
      </c>
      <c r="J413" s="179" t="s">
        <v>231</v>
      </c>
      <c r="K413" s="179"/>
      <c r="L413" s="176" t="s">
        <v>366</v>
      </c>
      <c r="M413" s="180">
        <f t="shared" si="25"/>
        <v>2737138.1008105474</v>
      </c>
      <c r="N413" s="181">
        <v>0</v>
      </c>
      <c r="O413" s="181">
        <v>0</v>
      </c>
      <c r="P413" s="181">
        <v>0</v>
      </c>
      <c r="Q413" s="181">
        <v>0</v>
      </c>
      <c r="R413" s="181">
        <v>0</v>
      </c>
      <c r="S413" s="182">
        <f t="shared" si="26"/>
        <v>2737138.1008105474</v>
      </c>
      <c r="T413" s="183"/>
    </row>
    <row r="414" spans="1:20" ht="11.25">
      <c r="A414" s="175" t="s">
        <v>275</v>
      </c>
      <c r="B414" s="175">
        <v>9</v>
      </c>
      <c r="C414" s="176" t="s">
        <v>469</v>
      </c>
      <c r="D414" s="176" t="s">
        <v>364</v>
      </c>
      <c r="E414" s="177" t="s">
        <v>365</v>
      </c>
      <c r="F414" s="177"/>
      <c r="G414" s="176" t="s">
        <v>360</v>
      </c>
      <c r="H414" s="178" t="s">
        <v>325</v>
      </c>
      <c r="I414" s="175" t="s">
        <v>231</v>
      </c>
      <c r="J414" s="179" t="s">
        <v>231</v>
      </c>
      <c r="K414" s="179"/>
      <c r="L414" s="176" t="s">
        <v>366</v>
      </c>
      <c r="M414" s="180">
        <f t="shared" si="25"/>
        <v>2846623.6248429692</v>
      </c>
      <c r="N414" s="181">
        <v>0</v>
      </c>
      <c r="O414" s="181">
        <v>0</v>
      </c>
      <c r="P414" s="181">
        <v>0</v>
      </c>
      <c r="Q414" s="181">
        <v>0</v>
      </c>
      <c r="R414" s="181">
        <v>0</v>
      </c>
      <c r="S414" s="182">
        <f t="shared" si="26"/>
        <v>2846623.6248429692</v>
      </c>
      <c r="T414" s="183"/>
    </row>
    <row r="415" spans="1:20" ht="11.25">
      <c r="A415" s="175" t="s">
        <v>276</v>
      </c>
      <c r="B415" s="175">
        <v>10</v>
      </c>
      <c r="C415" s="176" t="s">
        <v>469</v>
      </c>
      <c r="D415" s="176" t="s">
        <v>364</v>
      </c>
      <c r="E415" s="177" t="s">
        <v>365</v>
      </c>
      <c r="F415" s="177"/>
      <c r="G415" s="176" t="s">
        <v>360</v>
      </c>
      <c r="H415" s="178" t="s">
        <v>325</v>
      </c>
      <c r="I415" s="175" t="s">
        <v>231</v>
      </c>
      <c r="J415" s="179" t="s">
        <v>231</v>
      </c>
      <c r="K415" s="179"/>
      <c r="L415" s="176" t="s">
        <v>366</v>
      </c>
      <c r="M415" s="180">
        <f t="shared" si="25"/>
        <v>2960488.569836688</v>
      </c>
      <c r="N415" s="181">
        <v>0</v>
      </c>
      <c r="O415" s="181">
        <v>0</v>
      </c>
      <c r="P415" s="181">
        <v>0</v>
      </c>
      <c r="Q415" s="181">
        <v>0</v>
      </c>
      <c r="R415" s="181">
        <v>0</v>
      </c>
      <c r="S415" s="182">
        <f t="shared" si="26"/>
        <v>2960488.569836688</v>
      </c>
      <c r="T415" s="183"/>
    </row>
    <row r="416" spans="1:20" ht="11.25">
      <c r="A416" s="175" t="s">
        <v>277</v>
      </c>
      <c r="B416" s="175">
        <v>11</v>
      </c>
      <c r="C416" s="176" t="s">
        <v>469</v>
      </c>
      <c r="D416" s="176" t="s">
        <v>364</v>
      </c>
      <c r="E416" s="177" t="s">
        <v>365</v>
      </c>
      <c r="F416" s="177"/>
      <c r="G416" s="176" t="s">
        <v>360</v>
      </c>
      <c r="H416" s="178" t="s">
        <v>325</v>
      </c>
      <c r="I416" s="175" t="s">
        <v>231</v>
      </c>
      <c r="J416" s="179" t="s">
        <v>231</v>
      </c>
      <c r="K416" s="179"/>
      <c r="L416" s="176" t="s">
        <v>366</v>
      </c>
      <c r="M416" s="180">
        <f t="shared" si="25"/>
        <v>3078908.112630156</v>
      </c>
      <c r="N416" s="181">
        <v>0</v>
      </c>
      <c r="O416" s="181">
        <v>0</v>
      </c>
      <c r="P416" s="181">
        <v>0</v>
      </c>
      <c r="Q416" s="181">
        <v>0</v>
      </c>
      <c r="R416" s="181">
        <v>0</v>
      </c>
      <c r="S416" s="182">
        <f t="shared" si="26"/>
        <v>3078908.112630156</v>
      </c>
      <c r="T416" s="183"/>
    </row>
    <row r="417" spans="1:20" ht="11.25">
      <c r="A417" s="175" t="s">
        <v>278</v>
      </c>
      <c r="B417" s="175">
        <v>12</v>
      </c>
      <c r="C417" s="176" t="s">
        <v>469</v>
      </c>
      <c r="D417" s="176" t="s">
        <v>364</v>
      </c>
      <c r="E417" s="177" t="s">
        <v>365</v>
      </c>
      <c r="F417" s="177"/>
      <c r="G417" s="176" t="s">
        <v>360</v>
      </c>
      <c r="H417" s="178" t="s">
        <v>325</v>
      </c>
      <c r="I417" s="175" t="s">
        <v>231</v>
      </c>
      <c r="J417" s="179" t="s">
        <v>231</v>
      </c>
      <c r="K417" s="179"/>
      <c r="L417" s="176" t="s">
        <v>366</v>
      </c>
      <c r="M417" s="180">
        <f t="shared" si="25"/>
        <v>3202064.437135362</v>
      </c>
      <c r="N417" s="181">
        <v>0</v>
      </c>
      <c r="O417" s="181">
        <v>0</v>
      </c>
      <c r="P417" s="181">
        <v>0</v>
      </c>
      <c r="Q417" s="181">
        <v>0</v>
      </c>
      <c r="R417" s="181">
        <v>0</v>
      </c>
      <c r="S417" s="182">
        <f t="shared" si="26"/>
        <v>3202064.437135362</v>
      </c>
      <c r="T417" s="183"/>
    </row>
    <row r="418" spans="1:20" ht="11.25">
      <c r="A418" s="175" t="s">
        <v>279</v>
      </c>
      <c r="B418" s="175">
        <v>13</v>
      </c>
      <c r="C418" s="176" t="s">
        <v>469</v>
      </c>
      <c r="D418" s="176" t="s">
        <v>364</v>
      </c>
      <c r="E418" s="177" t="s">
        <v>365</v>
      </c>
      <c r="F418" s="177"/>
      <c r="G418" s="176" t="s">
        <v>360</v>
      </c>
      <c r="H418" s="178" t="s">
        <v>325</v>
      </c>
      <c r="I418" s="175" t="s">
        <v>231</v>
      </c>
      <c r="J418" s="179" t="s">
        <v>231</v>
      </c>
      <c r="K418" s="179"/>
      <c r="L418" s="176" t="s">
        <v>366</v>
      </c>
      <c r="M418" s="180">
        <f t="shared" si="25"/>
        <v>3330147.0146207768</v>
      </c>
      <c r="N418" s="181">
        <v>0</v>
      </c>
      <c r="O418" s="181">
        <v>0</v>
      </c>
      <c r="P418" s="181">
        <v>0</v>
      </c>
      <c r="Q418" s="181">
        <v>0</v>
      </c>
      <c r="R418" s="181">
        <v>0</v>
      </c>
      <c r="S418" s="182">
        <f t="shared" si="26"/>
        <v>3330147.0146207768</v>
      </c>
      <c r="T418" s="183"/>
    </row>
    <row r="419" spans="1:20" ht="11.25">
      <c r="A419" s="175" t="s">
        <v>280</v>
      </c>
      <c r="B419" s="175">
        <v>14</v>
      </c>
      <c r="C419" s="176" t="s">
        <v>469</v>
      </c>
      <c r="D419" s="176" t="s">
        <v>364</v>
      </c>
      <c r="E419" s="177" t="s">
        <v>365</v>
      </c>
      <c r="F419" s="177"/>
      <c r="G419" s="176" t="s">
        <v>360</v>
      </c>
      <c r="H419" s="178" t="s">
        <v>325</v>
      </c>
      <c r="I419" s="175" t="s">
        <v>231</v>
      </c>
      <c r="J419" s="179" t="s">
        <v>231</v>
      </c>
      <c r="K419" s="179"/>
      <c r="L419" s="176" t="s">
        <v>366</v>
      </c>
      <c r="M419" s="180">
        <f t="shared" si="25"/>
        <v>3463352.895205608</v>
      </c>
      <c r="N419" s="181">
        <v>0</v>
      </c>
      <c r="O419" s="181">
        <v>0</v>
      </c>
      <c r="P419" s="181">
        <v>0</v>
      </c>
      <c r="Q419" s="181">
        <v>0</v>
      </c>
      <c r="R419" s="181">
        <v>0</v>
      </c>
      <c r="S419" s="182">
        <f t="shared" si="26"/>
        <v>3463352.895205608</v>
      </c>
      <c r="T419" s="183"/>
    </row>
    <row r="420" spans="1:20" ht="11.25">
      <c r="A420" s="175" t="s">
        <v>281</v>
      </c>
      <c r="B420" s="175">
        <v>15</v>
      </c>
      <c r="C420" s="176" t="s">
        <v>469</v>
      </c>
      <c r="D420" s="176" t="s">
        <v>364</v>
      </c>
      <c r="E420" s="177" t="s">
        <v>365</v>
      </c>
      <c r="F420" s="177"/>
      <c r="G420" s="176" t="s">
        <v>360</v>
      </c>
      <c r="H420" s="178" t="s">
        <v>325</v>
      </c>
      <c r="I420" s="175" t="s">
        <v>231</v>
      </c>
      <c r="J420" s="179" t="s">
        <v>231</v>
      </c>
      <c r="K420" s="179"/>
      <c r="L420" s="176" t="s">
        <v>366</v>
      </c>
      <c r="M420" s="180">
        <f t="shared" si="25"/>
        <v>3601887.0110138324</v>
      </c>
      <c r="N420" s="181">
        <v>0</v>
      </c>
      <c r="O420" s="181">
        <v>0</v>
      </c>
      <c r="P420" s="181">
        <v>0</v>
      </c>
      <c r="Q420" s="181">
        <v>0</v>
      </c>
      <c r="R420" s="181">
        <v>0</v>
      </c>
      <c r="S420" s="182">
        <f t="shared" si="26"/>
        <v>3601887.0110138324</v>
      </c>
      <c r="T420" s="183"/>
    </row>
    <row r="421" spans="1:20" ht="11.25">
      <c r="A421" s="175" t="s">
        <v>282</v>
      </c>
      <c r="B421" s="175">
        <v>16</v>
      </c>
      <c r="C421" s="176" t="s">
        <v>469</v>
      </c>
      <c r="D421" s="176" t="s">
        <v>364</v>
      </c>
      <c r="E421" s="177" t="s">
        <v>365</v>
      </c>
      <c r="F421" s="177"/>
      <c r="G421" s="176" t="s">
        <v>360</v>
      </c>
      <c r="H421" s="178" t="s">
        <v>325</v>
      </c>
      <c r="I421" s="175" t="s">
        <v>231</v>
      </c>
      <c r="J421" s="179" t="s">
        <v>231</v>
      </c>
      <c r="K421" s="179"/>
      <c r="L421" s="176" t="s">
        <v>366</v>
      </c>
      <c r="M421" s="180">
        <f t="shared" si="25"/>
        <v>3745962.4914543857</v>
      </c>
      <c r="N421" s="181">
        <v>0</v>
      </c>
      <c r="O421" s="181">
        <v>0</v>
      </c>
      <c r="P421" s="181">
        <v>0</v>
      </c>
      <c r="Q421" s="181">
        <v>0</v>
      </c>
      <c r="R421" s="181">
        <v>0</v>
      </c>
      <c r="S421" s="182">
        <f t="shared" si="26"/>
        <v>3745962.4914543857</v>
      </c>
      <c r="T421" s="183"/>
    </row>
    <row r="422" spans="1:20" ht="11.25">
      <c r="A422" s="175" t="s">
        <v>283</v>
      </c>
      <c r="B422" s="175">
        <v>17</v>
      </c>
      <c r="C422" s="176" t="s">
        <v>469</v>
      </c>
      <c r="D422" s="176" t="s">
        <v>364</v>
      </c>
      <c r="E422" s="177" t="s">
        <v>365</v>
      </c>
      <c r="F422" s="177"/>
      <c r="G422" s="176" t="s">
        <v>360</v>
      </c>
      <c r="H422" s="178" t="s">
        <v>325</v>
      </c>
      <c r="I422" s="175" t="s">
        <v>231</v>
      </c>
      <c r="J422" s="179" t="s">
        <v>231</v>
      </c>
      <c r="K422" s="179"/>
      <c r="L422" s="176" t="s">
        <v>366</v>
      </c>
      <c r="M422" s="180">
        <f t="shared" si="25"/>
        <v>3895800.9911125614</v>
      </c>
      <c r="N422" s="181">
        <v>0</v>
      </c>
      <c r="O422" s="181">
        <v>0</v>
      </c>
      <c r="P422" s="181">
        <v>0</v>
      </c>
      <c r="Q422" s="181">
        <v>0</v>
      </c>
      <c r="R422" s="181">
        <v>0</v>
      </c>
      <c r="S422" s="182">
        <f t="shared" si="26"/>
        <v>3895800.9911125614</v>
      </c>
      <c r="T422" s="183"/>
    </row>
    <row r="423" spans="1:20" ht="11.25">
      <c r="A423" s="175" t="s">
        <v>284</v>
      </c>
      <c r="B423" s="175">
        <v>18</v>
      </c>
      <c r="C423" s="176" t="s">
        <v>469</v>
      </c>
      <c r="D423" s="176" t="s">
        <v>364</v>
      </c>
      <c r="E423" s="177" t="s">
        <v>365</v>
      </c>
      <c r="F423" s="177"/>
      <c r="G423" s="176" t="s">
        <v>360</v>
      </c>
      <c r="H423" s="178" t="s">
        <v>325</v>
      </c>
      <c r="I423" s="175" t="s">
        <v>231</v>
      </c>
      <c r="J423" s="179" t="s">
        <v>231</v>
      </c>
      <c r="K423" s="179"/>
      <c r="L423" s="176" t="s">
        <v>366</v>
      </c>
      <c r="M423" s="180">
        <f t="shared" si="25"/>
        <v>4051633.030757064</v>
      </c>
      <c r="N423" s="181">
        <v>0</v>
      </c>
      <c r="O423" s="181">
        <v>0</v>
      </c>
      <c r="P423" s="181">
        <v>0</v>
      </c>
      <c r="Q423" s="181">
        <v>0</v>
      </c>
      <c r="R423" s="181">
        <v>0</v>
      </c>
      <c r="S423" s="182">
        <f t="shared" si="26"/>
        <v>4051633.030757064</v>
      </c>
      <c r="T423" s="183"/>
    </row>
    <row r="424" spans="1:20" ht="11.25">
      <c r="A424" s="175" t="s">
        <v>285</v>
      </c>
      <c r="B424" s="175">
        <v>19</v>
      </c>
      <c r="C424" s="176" t="s">
        <v>469</v>
      </c>
      <c r="D424" s="176" t="s">
        <v>364</v>
      </c>
      <c r="E424" s="177" t="s">
        <v>365</v>
      </c>
      <c r="F424" s="177"/>
      <c r="G424" s="176" t="s">
        <v>360</v>
      </c>
      <c r="H424" s="178" t="s">
        <v>325</v>
      </c>
      <c r="I424" s="175" t="s">
        <v>231</v>
      </c>
      <c r="J424" s="179" t="s">
        <v>231</v>
      </c>
      <c r="K424" s="179"/>
      <c r="L424" s="176" t="s">
        <v>366</v>
      </c>
      <c r="M424" s="180">
        <f t="shared" si="25"/>
        <v>4213698.351987347</v>
      </c>
      <c r="N424" s="181">
        <v>0</v>
      </c>
      <c r="O424" s="181">
        <v>0</v>
      </c>
      <c r="P424" s="181">
        <v>0</v>
      </c>
      <c r="Q424" s="181">
        <v>0</v>
      </c>
      <c r="R424" s="181">
        <v>0</v>
      </c>
      <c r="S424" s="182">
        <f t="shared" si="26"/>
        <v>4213698.351987347</v>
      </c>
      <c r="T424" s="183"/>
    </row>
    <row r="425" spans="1:20" ht="11.25">
      <c r="A425" s="175" t="s">
        <v>303</v>
      </c>
      <c r="B425" s="175">
        <v>20</v>
      </c>
      <c r="C425" s="176" t="s">
        <v>469</v>
      </c>
      <c r="D425" s="176" t="s">
        <v>364</v>
      </c>
      <c r="E425" s="177" t="s">
        <v>365</v>
      </c>
      <c r="F425" s="177"/>
      <c r="G425" s="176" t="s">
        <v>360</v>
      </c>
      <c r="H425" s="178" t="s">
        <v>325</v>
      </c>
      <c r="I425" s="175" t="s">
        <v>231</v>
      </c>
      <c r="J425" s="179" t="s">
        <v>231</v>
      </c>
      <c r="K425" s="179"/>
      <c r="L425" s="176" t="s">
        <v>366</v>
      </c>
      <c r="M425" s="180">
        <f t="shared" si="25"/>
        <v>4382246.286066841</v>
      </c>
      <c r="N425" s="181">
        <v>0</v>
      </c>
      <c r="O425" s="181">
        <v>0</v>
      </c>
      <c r="P425" s="181">
        <v>0</v>
      </c>
      <c r="Q425" s="181">
        <v>0</v>
      </c>
      <c r="R425" s="181">
        <v>0</v>
      </c>
      <c r="S425" s="182">
        <f t="shared" si="26"/>
        <v>4382246.286066841</v>
      </c>
      <c r="T425" s="183"/>
    </row>
    <row r="426" spans="1:20" ht="11.25">
      <c r="A426" s="175" t="s">
        <v>265</v>
      </c>
      <c r="B426" s="175">
        <v>0</v>
      </c>
      <c r="C426" s="176" t="s">
        <v>355</v>
      </c>
      <c r="D426" s="176" t="s">
        <v>367</v>
      </c>
      <c r="E426" s="176" t="s">
        <v>368</v>
      </c>
      <c r="F426" s="176"/>
      <c r="G426" s="176" t="s">
        <v>334</v>
      </c>
      <c r="H426" s="178" t="s">
        <v>325</v>
      </c>
      <c r="I426" s="175" t="s">
        <v>231</v>
      </c>
      <c r="J426" s="179" t="s">
        <v>326</v>
      </c>
      <c r="K426" s="179"/>
      <c r="L426" s="176" t="s">
        <v>369</v>
      </c>
      <c r="M426" s="180">
        <v>371315</v>
      </c>
      <c r="N426" s="181">
        <v>0</v>
      </c>
      <c r="O426" s="181">
        <v>0</v>
      </c>
      <c r="P426" s="181">
        <v>0</v>
      </c>
      <c r="Q426" s="181">
        <v>0</v>
      </c>
      <c r="R426" s="181">
        <v>0</v>
      </c>
      <c r="S426" s="182">
        <f t="shared" si="26"/>
        <v>371315</v>
      </c>
      <c r="T426" s="183"/>
    </row>
    <row r="427" spans="1:20" ht="11.25">
      <c r="A427" s="175" t="s">
        <v>267</v>
      </c>
      <c r="B427" s="175">
        <v>1</v>
      </c>
      <c r="C427" s="176" t="s">
        <v>358</v>
      </c>
      <c r="D427" s="176" t="s">
        <v>367</v>
      </c>
      <c r="E427" s="176" t="s">
        <v>368</v>
      </c>
      <c r="F427" s="176"/>
      <c r="G427" s="176" t="s">
        <v>334</v>
      </c>
      <c r="H427" s="178" t="s">
        <v>325</v>
      </c>
      <c r="I427" s="175" t="s">
        <v>231</v>
      </c>
      <c r="J427" s="179" t="s">
        <v>231</v>
      </c>
      <c r="K427" s="179"/>
      <c r="L427" s="176" t="s">
        <v>369</v>
      </c>
      <c r="M427" s="180">
        <f>IF(J427="Y",M426*(1+$F$4),IF(J427="I",M426*(1+$E$4),M426))</f>
        <v>386167.60000000003</v>
      </c>
      <c r="N427" s="181">
        <v>0</v>
      </c>
      <c r="O427" s="181">
        <v>0</v>
      </c>
      <c r="P427" s="181">
        <v>0</v>
      </c>
      <c r="Q427" s="181">
        <v>0</v>
      </c>
      <c r="R427" s="181">
        <v>0</v>
      </c>
      <c r="S427" s="182">
        <f t="shared" si="26"/>
        <v>386167.60000000003</v>
      </c>
      <c r="T427" s="183"/>
    </row>
    <row r="428" spans="1:20" ht="11.25">
      <c r="A428" s="175" t="s">
        <v>268</v>
      </c>
      <c r="B428" s="175">
        <v>2</v>
      </c>
      <c r="C428" s="176" t="s">
        <v>358</v>
      </c>
      <c r="D428" s="176" t="s">
        <v>367</v>
      </c>
      <c r="E428" s="176" t="s">
        <v>368</v>
      </c>
      <c r="F428" s="176"/>
      <c r="G428" s="176" t="s">
        <v>334</v>
      </c>
      <c r="H428" s="178" t="s">
        <v>325</v>
      </c>
      <c r="I428" s="175" t="s">
        <v>231</v>
      </c>
      <c r="J428" s="179" t="s">
        <v>231</v>
      </c>
      <c r="K428" s="179"/>
      <c r="L428" s="176" t="s">
        <v>369</v>
      </c>
      <c r="M428" s="180">
        <f aca="true" t="shared" si="27" ref="M428:M467">IF(J428="Y",M427*(1+$C$4),IF(J428="I",M427*(1+$E$4),M427))</f>
        <v>401614.30400000006</v>
      </c>
      <c r="N428" s="181">
        <v>0</v>
      </c>
      <c r="O428" s="181">
        <v>0</v>
      </c>
      <c r="P428" s="181">
        <v>0</v>
      </c>
      <c r="Q428" s="181">
        <v>0</v>
      </c>
      <c r="R428" s="181">
        <v>0</v>
      </c>
      <c r="S428" s="182">
        <f t="shared" si="26"/>
        <v>401614.30400000006</v>
      </c>
      <c r="T428" s="183"/>
    </row>
    <row r="429" spans="1:20" ht="11.25">
      <c r="A429" s="175" t="s">
        <v>269</v>
      </c>
      <c r="B429" s="175">
        <v>3</v>
      </c>
      <c r="C429" s="176" t="s">
        <v>358</v>
      </c>
      <c r="D429" s="176" t="s">
        <v>367</v>
      </c>
      <c r="E429" s="176" t="s">
        <v>368</v>
      </c>
      <c r="F429" s="176"/>
      <c r="G429" s="176" t="s">
        <v>334</v>
      </c>
      <c r="H429" s="178" t="s">
        <v>325</v>
      </c>
      <c r="I429" s="175" t="s">
        <v>231</v>
      </c>
      <c r="J429" s="179" t="s">
        <v>231</v>
      </c>
      <c r="K429" s="179"/>
      <c r="L429" s="176" t="s">
        <v>369</v>
      </c>
      <c r="M429" s="180">
        <f t="shared" si="27"/>
        <v>417678.8761600001</v>
      </c>
      <c r="N429" s="181">
        <v>0</v>
      </c>
      <c r="O429" s="181">
        <v>0</v>
      </c>
      <c r="P429" s="181">
        <v>0</v>
      </c>
      <c r="Q429" s="181">
        <v>0</v>
      </c>
      <c r="R429" s="181">
        <v>0</v>
      </c>
      <c r="S429" s="182">
        <f t="shared" si="26"/>
        <v>417678.8761600001</v>
      </c>
      <c r="T429" s="183"/>
    </row>
    <row r="430" spans="1:20" ht="11.25">
      <c r="A430" s="175" t="s">
        <v>270</v>
      </c>
      <c r="B430" s="175">
        <v>4</v>
      </c>
      <c r="C430" s="176" t="s">
        <v>358</v>
      </c>
      <c r="D430" s="176" t="s">
        <v>367</v>
      </c>
      <c r="E430" s="176" t="s">
        <v>368</v>
      </c>
      <c r="F430" s="176"/>
      <c r="G430" s="176" t="s">
        <v>334</v>
      </c>
      <c r="H430" s="178" t="s">
        <v>325</v>
      </c>
      <c r="I430" s="175" t="s">
        <v>231</v>
      </c>
      <c r="J430" s="179" t="s">
        <v>231</v>
      </c>
      <c r="K430" s="179"/>
      <c r="L430" s="176" t="s">
        <v>369</v>
      </c>
      <c r="M430" s="180">
        <f t="shared" si="27"/>
        <v>434386.03120640013</v>
      </c>
      <c r="N430" s="181">
        <v>0</v>
      </c>
      <c r="O430" s="181">
        <v>0</v>
      </c>
      <c r="P430" s="181">
        <v>0</v>
      </c>
      <c r="Q430" s="181">
        <v>0</v>
      </c>
      <c r="R430" s="181">
        <v>0</v>
      </c>
      <c r="S430" s="182">
        <f t="shared" si="26"/>
        <v>434386.03120640013</v>
      </c>
      <c r="T430" s="183"/>
    </row>
    <row r="431" spans="1:20" ht="11.25">
      <c r="A431" s="175" t="s">
        <v>271</v>
      </c>
      <c r="B431" s="175">
        <v>5</v>
      </c>
      <c r="C431" s="176" t="s">
        <v>358</v>
      </c>
      <c r="D431" s="176" t="s">
        <v>367</v>
      </c>
      <c r="E431" s="176" t="s">
        <v>368</v>
      </c>
      <c r="F431" s="176"/>
      <c r="G431" s="176" t="s">
        <v>334</v>
      </c>
      <c r="H431" s="178" t="s">
        <v>325</v>
      </c>
      <c r="I431" s="175" t="s">
        <v>231</v>
      </c>
      <c r="J431" s="179" t="s">
        <v>231</v>
      </c>
      <c r="K431" s="179"/>
      <c r="L431" s="176" t="s">
        <v>369</v>
      </c>
      <c r="M431" s="180">
        <f t="shared" si="27"/>
        <v>451761.47245465615</v>
      </c>
      <c r="N431" s="181">
        <v>0</v>
      </c>
      <c r="O431" s="181">
        <v>0</v>
      </c>
      <c r="P431" s="181">
        <v>0</v>
      </c>
      <c r="Q431" s="181">
        <v>0</v>
      </c>
      <c r="R431" s="181">
        <v>0</v>
      </c>
      <c r="S431" s="182">
        <f t="shared" si="26"/>
        <v>451761.47245465615</v>
      </c>
      <c r="T431" s="183"/>
    </row>
    <row r="432" spans="1:20" ht="11.25">
      <c r="A432" s="175" t="s">
        <v>272</v>
      </c>
      <c r="B432" s="175">
        <v>6</v>
      </c>
      <c r="C432" s="176" t="s">
        <v>358</v>
      </c>
      <c r="D432" s="176" t="s">
        <v>367</v>
      </c>
      <c r="E432" s="176" t="s">
        <v>368</v>
      </c>
      <c r="F432" s="176"/>
      <c r="G432" s="176" t="s">
        <v>334</v>
      </c>
      <c r="H432" s="178" t="s">
        <v>325</v>
      </c>
      <c r="I432" s="175" t="s">
        <v>231</v>
      </c>
      <c r="J432" s="179" t="s">
        <v>231</v>
      </c>
      <c r="K432" s="179"/>
      <c r="L432" s="176" t="s">
        <v>369</v>
      </c>
      <c r="M432" s="180">
        <f t="shared" si="27"/>
        <v>469831.9313528424</v>
      </c>
      <c r="N432" s="181">
        <v>0</v>
      </c>
      <c r="O432" s="181">
        <v>0</v>
      </c>
      <c r="P432" s="181">
        <v>0</v>
      </c>
      <c r="Q432" s="181">
        <v>0</v>
      </c>
      <c r="R432" s="181">
        <v>0</v>
      </c>
      <c r="S432" s="182">
        <f t="shared" si="26"/>
        <v>469831.9313528424</v>
      </c>
      <c r="T432" s="183"/>
    </row>
    <row r="433" spans="1:20" ht="11.25">
      <c r="A433" s="175" t="s">
        <v>273</v>
      </c>
      <c r="B433" s="175">
        <v>7</v>
      </c>
      <c r="C433" s="176" t="s">
        <v>358</v>
      </c>
      <c r="D433" s="176" t="s">
        <v>367</v>
      </c>
      <c r="E433" s="176" t="s">
        <v>368</v>
      </c>
      <c r="F433" s="176"/>
      <c r="G433" s="176" t="s">
        <v>334</v>
      </c>
      <c r="H433" s="178" t="s">
        <v>325</v>
      </c>
      <c r="I433" s="175" t="s">
        <v>231</v>
      </c>
      <c r="J433" s="179" t="s">
        <v>231</v>
      </c>
      <c r="K433" s="179"/>
      <c r="L433" s="176" t="s">
        <v>369</v>
      </c>
      <c r="M433" s="180">
        <f t="shared" si="27"/>
        <v>488625.2086069561</v>
      </c>
      <c r="N433" s="181">
        <v>0</v>
      </c>
      <c r="O433" s="181">
        <v>0</v>
      </c>
      <c r="P433" s="181">
        <v>0</v>
      </c>
      <c r="Q433" s="181">
        <v>0</v>
      </c>
      <c r="R433" s="181">
        <v>0</v>
      </c>
      <c r="S433" s="182">
        <f t="shared" si="26"/>
        <v>488625.2086069561</v>
      </c>
      <c r="T433" s="183"/>
    </row>
    <row r="434" spans="1:20" ht="11.25">
      <c r="A434" s="175" t="s">
        <v>274</v>
      </c>
      <c r="B434" s="175">
        <v>8</v>
      </c>
      <c r="C434" s="176" t="s">
        <v>358</v>
      </c>
      <c r="D434" s="176" t="s">
        <v>367</v>
      </c>
      <c r="E434" s="176" t="s">
        <v>368</v>
      </c>
      <c r="F434" s="176"/>
      <c r="G434" s="176" t="s">
        <v>334</v>
      </c>
      <c r="H434" s="178" t="s">
        <v>325</v>
      </c>
      <c r="I434" s="175" t="s">
        <v>231</v>
      </c>
      <c r="J434" s="179" t="s">
        <v>231</v>
      </c>
      <c r="K434" s="179"/>
      <c r="L434" s="176" t="s">
        <v>369</v>
      </c>
      <c r="M434" s="180">
        <f t="shared" si="27"/>
        <v>508170.2169512344</v>
      </c>
      <c r="N434" s="181">
        <v>0</v>
      </c>
      <c r="O434" s="181">
        <v>0</v>
      </c>
      <c r="P434" s="181">
        <v>0</v>
      </c>
      <c r="Q434" s="181">
        <v>0</v>
      </c>
      <c r="R434" s="181">
        <v>0</v>
      </c>
      <c r="S434" s="182">
        <f t="shared" si="26"/>
        <v>508170.2169512344</v>
      </c>
      <c r="T434" s="183"/>
    </row>
    <row r="435" spans="1:20" ht="11.25">
      <c r="A435" s="175" t="s">
        <v>275</v>
      </c>
      <c r="B435" s="175">
        <v>9</v>
      </c>
      <c r="C435" s="176" t="s">
        <v>358</v>
      </c>
      <c r="D435" s="176" t="s">
        <v>367</v>
      </c>
      <c r="E435" s="176" t="s">
        <v>368</v>
      </c>
      <c r="F435" s="176"/>
      <c r="G435" s="176" t="s">
        <v>334</v>
      </c>
      <c r="H435" s="178" t="s">
        <v>325</v>
      </c>
      <c r="I435" s="175" t="s">
        <v>231</v>
      </c>
      <c r="J435" s="179" t="s">
        <v>231</v>
      </c>
      <c r="K435" s="179"/>
      <c r="L435" s="176" t="s">
        <v>369</v>
      </c>
      <c r="M435" s="180">
        <f t="shared" si="27"/>
        <v>528497.0256292837</v>
      </c>
      <c r="N435" s="181">
        <v>0</v>
      </c>
      <c r="O435" s="181">
        <v>0</v>
      </c>
      <c r="P435" s="181">
        <v>0</v>
      </c>
      <c r="Q435" s="181">
        <v>0</v>
      </c>
      <c r="R435" s="181">
        <v>0</v>
      </c>
      <c r="S435" s="182">
        <f t="shared" si="26"/>
        <v>528497.0256292837</v>
      </c>
      <c r="T435" s="183"/>
    </row>
    <row r="436" spans="1:20" ht="11.25">
      <c r="A436" s="175" t="s">
        <v>276</v>
      </c>
      <c r="B436" s="175">
        <v>10</v>
      </c>
      <c r="C436" s="176" t="s">
        <v>358</v>
      </c>
      <c r="D436" s="176" t="s">
        <v>367</v>
      </c>
      <c r="E436" s="176" t="s">
        <v>368</v>
      </c>
      <c r="F436" s="176"/>
      <c r="G436" s="176" t="s">
        <v>334</v>
      </c>
      <c r="H436" s="178" t="s">
        <v>325</v>
      </c>
      <c r="I436" s="175" t="s">
        <v>231</v>
      </c>
      <c r="J436" s="179" t="s">
        <v>231</v>
      </c>
      <c r="K436" s="179"/>
      <c r="L436" s="176" t="s">
        <v>369</v>
      </c>
      <c r="M436" s="180">
        <f t="shared" si="27"/>
        <v>549636.9066544551</v>
      </c>
      <c r="N436" s="181">
        <v>0</v>
      </c>
      <c r="O436" s="181">
        <v>0</v>
      </c>
      <c r="P436" s="181">
        <v>0</v>
      </c>
      <c r="Q436" s="181">
        <v>0</v>
      </c>
      <c r="R436" s="181">
        <v>0</v>
      </c>
      <c r="S436" s="182">
        <f t="shared" si="26"/>
        <v>549636.9066544551</v>
      </c>
      <c r="T436" s="183"/>
    </row>
    <row r="437" spans="1:20" ht="11.25">
      <c r="A437" s="175" t="s">
        <v>277</v>
      </c>
      <c r="B437" s="175">
        <v>11</v>
      </c>
      <c r="C437" s="176" t="s">
        <v>358</v>
      </c>
      <c r="D437" s="176" t="s">
        <v>367</v>
      </c>
      <c r="E437" s="176" t="s">
        <v>368</v>
      </c>
      <c r="F437" s="176"/>
      <c r="G437" s="176" t="s">
        <v>334</v>
      </c>
      <c r="H437" s="178" t="s">
        <v>325</v>
      </c>
      <c r="I437" s="175" t="s">
        <v>231</v>
      </c>
      <c r="J437" s="179" t="s">
        <v>231</v>
      </c>
      <c r="K437" s="179"/>
      <c r="L437" s="176" t="s">
        <v>369</v>
      </c>
      <c r="M437" s="180">
        <f t="shared" si="27"/>
        <v>571622.3829206333</v>
      </c>
      <c r="N437" s="181">
        <v>0</v>
      </c>
      <c r="O437" s="181">
        <v>0</v>
      </c>
      <c r="P437" s="181">
        <v>0</v>
      </c>
      <c r="Q437" s="181">
        <v>0</v>
      </c>
      <c r="R437" s="181">
        <v>0</v>
      </c>
      <c r="S437" s="182">
        <f t="shared" si="26"/>
        <v>571622.3829206333</v>
      </c>
      <c r="T437" s="183"/>
    </row>
    <row r="438" spans="1:20" ht="11.25">
      <c r="A438" s="175" t="s">
        <v>278</v>
      </c>
      <c r="B438" s="175">
        <v>12</v>
      </c>
      <c r="C438" s="176" t="s">
        <v>358</v>
      </c>
      <c r="D438" s="176" t="s">
        <v>367</v>
      </c>
      <c r="E438" s="176" t="s">
        <v>368</v>
      </c>
      <c r="F438" s="176"/>
      <c r="G438" s="176" t="s">
        <v>334</v>
      </c>
      <c r="H438" s="178" t="s">
        <v>325</v>
      </c>
      <c r="I438" s="175" t="s">
        <v>231</v>
      </c>
      <c r="J438" s="179" t="s">
        <v>231</v>
      </c>
      <c r="K438" s="179"/>
      <c r="L438" s="176" t="s">
        <v>369</v>
      </c>
      <c r="M438" s="180">
        <f t="shared" si="27"/>
        <v>594487.2782374587</v>
      </c>
      <c r="N438" s="181">
        <v>0</v>
      </c>
      <c r="O438" s="181">
        <v>0</v>
      </c>
      <c r="P438" s="181">
        <v>0</v>
      </c>
      <c r="Q438" s="181">
        <v>0</v>
      </c>
      <c r="R438" s="181">
        <v>0</v>
      </c>
      <c r="S438" s="182">
        <f t="shared" si="26"/>
        <v>594487.2782374587</v>
      </c>
      <c r="T438" s="183"/>
    </row>
    <row r="439" spans="1:20" ht="11.25">
      <c r="A439" s="175" t="s">
        <v>279</v>
      </c>
      <c r="B439" s="175">
        <v>13</v>
      </c>
      <c r="C439" s="176" t="s">
        <v>358</v>
      </c>
      <c r="D439" s="176" t="s">
        <v>367</v>
      </c>
      <c r="E439" s="176" t="s">
        <v>368</v>
      </c>
      <c r="F439" s="176"/>
      <c r="G439" s="176" t="s">
        <v>334</v>
      </c>
      <c r="H439" s="178" t="s">
        <v>325</v>
      </c>
      <c r="I439" s="175" t="s">
        <v>231</v>
      </c>
      <c r="J439" s="179" t="s">
        <v>231</v>
      </c>
      <c r="K439" s="179"/>
      <c r="L439" s="176" t="s">
        <v>369</v>
      </c>
      <c r="M439" s="180">
        <f t="shared" si="27"/>
        <v>618266.769366957</v>
      </c>
      <c r="N439" s="181">
        <v>0</v>
      </c>
      <c r="O439" s="181">
        <v>0</v>
      </c>
      <c r="P439" s="181">
        <v>0</v>
      </c>
      <c r="Q439" s="181">
        <v>0</v>
      </c>
      <c r="R439" s="181">
        <v>0</v>
      </c>
      <c r="S439" s="182">
        <f t="shared" si="26"/>
        <v>618266.769366957</v>
      </c>
      <c r="T439" s="183"/>
    </row>
    <row r="440" spans="1:20" ht="11.25">
      <c r="A440" s="175" t="s">
        <v>280</v>
      </c>
      <c r="B440" s="175">
        <v>14</v>
      </c>
      <c r="C440" s="176" t="s">
        <v>358</v>
      </c>
      <c r="D440" s="176" t="s">
        <v>367</v>
      </c>
      <c r="E440" s="176" t="s">
        <v>368</v>
      </c>
      <c r="F440" s="176"/>
      <c r="G440" s="176" t="s">
        <v>334</v>
      </c>
      <c r="H440" s="178" t="s">
        <v>325</v>
      </c>
      <c r="I440" s="175" t="s">
        <v>231</v>
      </c>
      <c r="J440" s="179" t="s">
        <v>231</v>
      </c>
      <c r="K440" s="179"/>
      <c r="L440" s="176" t="s">
        <v>369</v>
      </c>
      <c r="M440" s="180">
        <f t="shared" si="27"/>
        <v>642997.4401416354</v>
      </c>
      <c r="N440" s="181">
        <v>0</v>
      </c>
      <c r="O440" s="181">
        <v>0</v>
      </c>
      <c r="P440" s="181">
        <v>0</v>
      </c>
      <c r="Q440" s="181">
        <v>0</v>
      </c>
      <c r="R440" s="181">
        <v>0</v>
      </c>
      <c r="S440" s="182">
        <f t="shared" si="26"/>
        <v>642997.4401416354</v>
      </c>
      <c r="T440" s="183"/>
    </row>
    <row r="441" spans="1:20" ht="11.25">
      <c r="A441" s="175" t="s">
        <v>281</v>
      </c>
      <c r="B441" s="175">
        <v>15</v>
      </c>
      <c r="C441" s="176" t="s">
        <v>358</v>
      </c>
      <c r="D441" s="176" t="s">
        <v>367</v>
      </c>
      <c r="E441" s="176" t="s">
        <v>368</v>
      </c>
      <c r="F441" s="176"/>
      <c r="G441" s="176" t="s">
        <v>334</v>
      </c>
      <c r="H441" s="178" t="s">
        <v>325</v>
      </c>
      <c r="I441" s="175" t="s">
        <v>231</v>
      </c>
      <c r="J441" s="179" t="s">
        <v>231</v>
      </c>
      <c r="K441" s="179"/>
      <c r="L441" s="176" t="s">
        <v>369</v>
      </c>
      <c r="M441" s="180">
        <f t="shared" si="27"/>
        <v>668717.3377473009</v>
      </c>
      <c r="N441" s="181">
        <v>0</v>
      </c>
      <c r="O441" s="181">
        <v>0</v>
      </c>
      <c r="P441" s="181">
        <v>0</v>
      </c>
      <c r="Q441" s="181">
        <v>0</v>
      </c>
      <c r="R441" s="181">
        <v>0</v>
      </c>
      <c r="S441" s="182">
        <f t="shared" si="26"/>
        <v>668717.3377473009</v>
      </c>
      <c r="T441" s="183"/>
    </row>
    <row r="442" spans="1:20" ht="11.25">
      <c r="A442" s="175" t="s">
        <v>282</v>
      </c>
      <c r="B442" s="175">
        <v>16</v>
      </c>
      <c r="C442" s="176" t="s">
        <v>358</v>
      </c>
      <c r="D442" s="176" t="s">
        <v>367</v>
      </c>
      <c r="E442" s="176" t="s">
        <v>368</v>
      </c>
      <c r="F442" s="176"/>
      <c r="G442" s="176" t="s">
        <v>334</v>
      </c>
      <c r="H442" s="178" t="s">
        <v>325</v>
      </c>
      <c r="I442" s="175" t="s">
        <v>231</v>
      </c>
      <c r="J442" s="179" t="s">
        <v>231</v>
      </c>
      <c r="K442" s="179"/>
      <c r="L442" s="176" t="s">
        <v>369</v>
      </c>
      <c r="M442" s="180">
        <f t="shared" si="27"/>
        <v>695466.031257193</v>
      </c>
      <c r="N442" s="181">
        <v>0</v>
      </c>
      <c r="O442" s="181">
        <v>0</v>
      </c>
      <c r="P442" s="181">
        <v>0</v>
      </c>
      <c r="Q442" s="181">
        <v>0</v>
      </c>
      <c r="R442" s="181">
        <v>0</v>
      </c>
      <c r="S442" s="182">
        <f t="shared" si="26"/>
        <v>695466.031257193</v>
      </c>
      <c r="T442" s="183"/>
    </row>
    <row r="443" spans="1:20" ht="11.25">
      <c r="A443" s="175" t="s">
        <v>283</v>
      </c>
      <c r="B443" s="175">
        <v>17</v>
      </c>
      <c r="C443" s="176" t="s">
        <v>358</v>
      </c>
      <c r="D443" s="176" t="s">
        <v>367</v>
      </c>
      <c r="E443" s="176" t="s">
        <v>368</v>
      </c>
      <c r="F443" s="176"/>
      <c r="G443" s="176" t="s">
        <v>334</v>
      </c>
      <c r="H443" s="178" t="s">
        <v>325</v>
      </c>
      <c r="I443" s="175" t="s">
        <v>231</v>
      </c>
      <c r="J443" s="179" t="s">
        <v>231</v>
      </c>
      <c r="K443" s="179"/>
      <c r="L443" s="176" t="s">
        <v>369</v>
      </c>
      <c r="M443" s="180">
        <f t="shared" si="27"/>
        <v>723284.6725074807</v>
      </c>
      <c r="N443" s="181">
        <v>0</v>
      </c>
      <c r="O443" s="181">
        <v>0</v>
      </c>
      <c r="P443" s="181">
        <v>0</v>
      </c>
      <c r="Q443" s="181">
        <v>0</v>
      </c>
      <c r="R443" s="181">
        <v>0</v>
      </c>
      <c r="S443" s="182">
        <f t="shared" si="26"/>
        <v>723284.6725074807</v>
      </c>
      <c r="T443" s="183"/>
    </row>
    <row r="444" spans="1:20" ht="11.25">
      <c r="A444" s="175" t="s">
        <v>284</v>
      </c>
      <c r="B444" s="175">
        <v>18</v>
      </c>
      <c r="C444" s="176" t="s">
        <v>358</v>
      </c>
      <c r="D444" s="176" t="s">
        <v>367</v>
      </c>
      <c r="E444" s="176" t="s">
        <v>368</v>
      </c>
      <c r="F444" s="176"/>
      <c r="G444" s="176" t="s">
        <v>334</v>
      </c>
      <c r="H444" s="178" t="s">
        <v>325</v>
      </c>
      <c r="I444" s="175" t="s">
        <v>231</v>
      </c>
      <c r="J444" s="179" t="s">
        <v>231</v>
      </c>
      <c r="K444" s="179"/>
      <c r="L444" s="176" t="s">
        <v>369</v>
      </c>
      <c r="M444" s="180">
        <f t="shared" si="27"/>
        <v>752216.05940778</v>
      </c>
      <c r="N444" s="181">
        <v>0</v>
      </c>
      <c r="O444" s="181">
        <v>0</v>
      </c>
      <c r="P444" s="181">
        <v>0</v>
      </c>
      <c r="Q444" s="181">
        <v>0</v>
      </c>
      <c r="R444" s="181">
        <v>0</v>
      </c>
      <c r="S444" s="182">
        <f t="shared" si="26"/>
        <v>752216.05940778</v>
      </c>
      <c r="T444" s="183"/>
    </row>
    <row r="445" spans="1:20" ht="11.25">
      <c r="A445" s="175" t="s">
        <v>285</v>
      </c>
      <c r="B445" s="175">
        <v>19</v>
      </c>
      <c r="C445" s="176" t="s">
        <v>358</v>
      </c>
      <c r="D445" s="176" t="s">
        <v>367</v>
      </c>
      <c r="E445" s="176" t="s">
        <v>368</v>
      </c>
      <c r="F445" s="176"/>
      <c r="G445" s="176" t="s">
        <v>334</v>
      </c>
      <c r="H445" s="178" t="s">
        <v>325</v>
      </c>
      <c r="I445" s="175" t="s">
        <v>231</v>
      </c>
      <c r="J445" s="179" t="s">
        <v>231</v>
      </c>
      <c r="K445" s="179"/>
      <c r="L445" s="176" t="s">
        <v>369</v>
      </c>
      <c r="M445" s="180">
        <f t="shared" si="27"/>
        <v>782304.7017840912</v>
      </c>
      <c r="N445" s="181">
        <v>0</v>
      </c>
      <c r="O445" s="181">
        <v>0</v>
      </c>
      <c r="P445" s="181">
        <v>0</v>
      </c>
      <c r="Q445" s="181">
        <v>0</v>
      </c>
      <c r="R445" s="181">
        <v>0</v>
      </c>
      <c r="S445" s="182">
        <f t="shared" si="26"/>
        <v>782304.7017840912</v>
      </c>
      <c r="T445" s="183"/>
    </row>
    <row r="446" spans="1:20" ht="11.25">
      <c r="A446" s="175" t="s">
        <v>303</v>
      </c>
      <c r="B446" s="175">
        <v>20</v>
      </c>
      <c r="C446" s="176" t="s">
        <v>358</v>
      </c>
      <c r="D446" s="176" t="s">
        <v>367</v>
      </c>
      <c r="E446" s="176" t="s">
        <v>368</v>
      </c>
      <c r="F446" s="176"/>
      <c r="G446" s="176" t="s">
        <v>334</v>
      </c>
      <c r="H446" s="178" t="s">
        <v>325</v>
      </c>
      <c r="I446" s="175" t="s">
        <v>231</v>
      </c>
      <c r="J446" s="179" t="s">
        <v>231</v>
      </c>
      <c r="K446" s="179"/>
      <c r="L446" s="176" t="s">
        <v>369</v>
      </c>
      <c r="M446" s="180">
        <f t="shared" si="27"/>
        <v>813596.8898554549</v>
      </c>
      <c r="N446" s="181">
        <v>0</v>
      </c>
      <c r="O446" s="181">
        <v>0</v>
      </c>
      <c r="P446" s="181">
        <v>0</v>
      </c>
      <c r="Q446" s="181">
        <v>0</v>
      </c>
      <c r="R446" s="181">
        <v>0</v>
      </c>
      <c r="S446" s="182">
        <f t="shared" si="26"/>
        <v>813596.8898554549</v>
      </c>
      <c r="T446" s="183"/>
    </row>
    <row r="447" spans="1:20" ht="11.25">
      <c r="A447" s="175" t="s">
        <v>265</v>
      </c>
      <c r="B447" s="175">
        <v>0</v>
      </c>
      <c r="C447" s="176" t="s">
        <v>469</v>
      </c>
      <c r="D447" s="176" t="s">
        <v>331</v>
      </c>
      <c r="E447" s="176" t="s">
        <v>350</v>
      </c>
      <c r="F447" s="176"/>
      <c r="G447" s="176" t="s">
        <v>334</v>
      </c>
      <c r="H447" s="178" t="s">
        <v>325</v>
      </c>
      <c r="I447" s="175" t="s">
        <v>231</v>
      </c>
      <c r="J447" s="179" t="s">
        <v>326</v>
      </c>
      <c r="K447" s="179"/>
      <c r="L447" s="176" t="s">
        <v>370</v>
      </c>
      <c r="M447" s="180">
        <v>500000</v>
      </c>
      <c r="N447" s="181">
        <v>0</v>
      </c>
      <c r="O447" s="181">
        <v>0</v>
      </c>
      <c r="P447" s="181">
        <v>0</v>
      </c>
      <c r="Q447" s="181">
        <v>0</v>
      </c>
      <c r="R447" s="181">
        <v>0</v>
      </c>
      <c r="S447" s="182">
        <f t="shared" si="26"/>
        <v>500000</v>
      </c>
      <c r="T447" s="183"/>
    </row>
    <row r="448" spans="1:20" ht="11.25">
      <c r="A448" s="175" t="s">
        <v>267</v>
      </c>
      <c r="B448" s="175">
        <v>1</v>
      </c>
      <c r="C448" s="176" t="s">
        <v>469</v>
      </c>
      <c r="D448" s="176" t="s">
        <v>331</v>
      </c>
      <c r="E448" s="176" t="s">
        <v>350</v>
      </c>
      <c r="F448" s="176"/>
      <c r="G448" s="176" t="s">
        <v>334</v>
      </c>
      <c r="H448" s="178" t="s">
        <v>325</v>
      </c>
      <c r="I448" s="175" t="s">
        <v>231</v>
      </c>
      <c r="J448" s="179" t="s">
        <v>352</v>
      </c>
      <c r="K448" s="179"/>
      <c r="L448" s="176" t="s">
        <v>370</v>
      </c>
      <c r="M448" s="180">
        <f>IF(J448="Y",M447*(1+$F$4),IF(J448="I",M447*(1+$E$4),M447))</f>
        <v>512499.99999999994</v>
      </c>
      <c r="N448" s="181">
        <v>0</v>
      </c>
      <c r="O448" s="181">
        <v>0</v>
      </c>
      <c r="P448" s="181">
        <v>0</v>
      </c>
      <c r="Q448" s="181">
        <v>0</v>
      </c>
      <c r="R448" s="181">
        <v>0</v>
      </c>
      <c r="S448" s="182">
        <f t="shared" si="26"/>
        <v>512499.99999999994</v>
      </c>
      <c r="T448" s="183"/>
    </row>
    <row r="449" spans="1:20" ht="11.25">
      <c r="A449" s="175" t="s">
        <v>268</v>
      </c>
      <c r="B449" s="175">
        <v>2</v>
      </c>
      <c r="C449" s="176" t="s">
        <v>469</v>
      </c>
      <c r="D449" s="176" t="s">
        <v>331</v>
      </c>
      <c r="E449" s="176" t="s">
        <v>350</v>
      </c>
      <c r="F449" s="176"/>
      <c r="G449" s="176" t="s">
        <v>334</v>
      </c>
      <c r="H449" s="178" t="s">
        <v>325</v>
      </c>
      <c r="I449" s="175" t="s">
        <v>231</v>
      </c>
      <c r="J449" s="179" t="s">
        <v>352</v>
      </c>
      <c r="K449" s="179"/>
      <c r="L449" s="176" t="s">
        <v>370</v>
      </c>
      <c r="M449" s="180">
        <f t="shared" si="27"/>
        <v>525312.4999999999</v>
      </c>
      <c r="N449" s="181">
        <v>0</v>
      </c>
      <c r="O449" s="181">
        <v>0</v>
      </c>
      <c r="P449" s="181">
        <v>0</v>
      </c>
      <c r="Q449" s="181">
        <v>0</v>
      </c>
      <c r="R449" s="181">
        <v>0</v>
      </c>
      <c r="S449" s="182">
        <f t="shared" si="26"/>
        <v>525312.4999999999</v>
      </c>
      <c r="T449" s="183"/>
    </row>
    <row r="450" spans="1:20" ht="11.25">
      <c r="A450" s="175" t="s">
        <v>269</v>
      </c>
      <c r="B450" s="175">
        <v>3</v>
      </c>
      <c r="C450" s="176" t="s">
        <v>469</v>
      </c>
      <c r="D450" s="176" t="s">
        <v>331</v>
      </c>
      <c r="E450" s="176" t="s">
        <v>350</v>
      </c>
      <c r="F450" s="176"/>
      <c r="G450" s="176" t="s">
        <v>334</v>
      </c>
      <c r="H450" s="178" t="s">
        <v>325</v>
      </c>
      <c r="I450" s="175" t="s">
        <v>231</v>
      </c>
      <c r="J450" s="179" t="s">
        <v>352</v>
      </c>
      <c r="K450" s="179"/>
      <c r="L450" s="176" t="s">
        <v>370</v>
      </c>
      <c r="M450" s="180">
        <f t="shared" si="27"/>
        <v>538445.3124999999</v>
      </c>
      <c r="N450" s="181">
        <v>0</v>
      </c>
      <c r="O450" s="181">
        <v>0</v>
      </c>
      <c r="P450" s="181">
        <v>0</v>
      </c>
      <c r="Q450" s="181">
        <v>0</v>
      </c>
      <c r="R450" s="181">
        <v>0</v>
      </c>
      <c r="S450" s="182">
        <f t="shared" si="26"/>
        <v>538445.3124999999</v>
      </c>
      <c r="T450" s="183"/>
    </row>
    <row r="451" spans="1:20" ht="11.25">
      <c r="A451" s="175" t="s">
        <v>270</v>
      </c>
      <c r="B451" s="175">
        <v>4</v>
      </c>
      <c r="C451" s="176" t="s">
        <v>469</v>
      </c>
      <c r="D451" s="176" t="s">
        <v>331</v>
      </c>
      <c r="E451" s="176" t="s">
        <v>350</v>
      </c>
      <c r="F451" s="176"/>
      <c r="G451" s="176" t="s">
        <v>334</v>
      </c>
      <c r="H451" s="178" t="s">
        <v>325</v>
      </c>
      <c r="I451" s="175" t="s">
        <v>231</v>
      </c>
      <c r="J451" s="179" t="s">
        <v>352</v>
      </c>
      <c r="K451" s="179"/>
      <c r="L451" s="176" t="s">
        <v>370</v>
      </c>
      <c r="M451" s="180">
        <f t="shared" si="27"/>
        <v>551906.4453124999</v>
      </c>
      <c r="N451" s="181">
        <v>0</v>
      </c>
      <c r="O451" s="181">
        <v>0</v>
      </c>
      <c r="P451" s="181">
        <v>0</v>
      </c>
      <c r="Q451" s="181">
        <v>0</v>
      </c>
      <c r="R451" s="181">
        <v>0</v>
      </c>
      <c r="S451" s="182">
        <f t="shared" si="26"/>
        <v>551906.4453124999</v>
      </c>
      <c r="T451" s="183"/>
    </row>
    <row r="452" spans="1:20" ht="11.25">
      <c r="A452" s="175" t="s">
        <v>271</v>
      </c>
      <c r="B452" s="175">
        <v>5</v>
      </c>
      <c r="C452" s="176" t="s">
        <v>469</v>
      </c>
      <c r="D452" s="176" t="s">
        <v>331</v>
      </c>
      <c r="E452" s="176" t="s">
        <v>350</v>
      </c>
      <c r="F452" s="176"/>
      <c r="G452" s="176" t="s">
        <v>334</v>
      </c>
      <c r="H452" s="178" t="s">
        <v>325</v>
      </c>
      <c r="I452" s="175" t="s">
        <v>231</v>
      </c>
      <c r="J452" s="179" t="s">
        <v>352</v>
      </c>
      <c r="K452" s="179"/>
      <c r="L452" s="176" t="s">
        <v>370</v>
      </c>
      <c r="M452" s="180">
        <f t="shared" si="27"/>
        <v>565704.1064453124</v>
      </c>
      <c r="N452" s="181">
        <v>0</v>
      </c>
      <c r="O452" s="181">
        <v>0</v>
      </c>
      <c r="P452" s="181">
        <v>0</v>
      </c>
      <c r="Q452" s="181">
        <v>0</v>
      </c>
      <c r="R452" s="181">
        <v>0</v>
      </c>
      <c r="S452" s="182">
        <f t="shared" si="26"/>
        <v>565704.1064453124</v>
      </c>
      <c r="T452" s="183"/>
    </row>
    <row r="453" spans="1:20" ht="11.25">
      <c r="A453" s="175" t="s">
        <v>272</v>
      </c>
      <c r="B453" s="175">
        <v>6</v>
      </c>
      <c r="C453" s="176" t="s">
        <v>469</v>
      </c>
      <c r="D453" s="176" t="s">
        <v>331</v>
      </c>
      <c r="E453" s="176" t="s">
        <v>350</v>
      </c>
      <c r="F453" s="176"/>
      <c r="G453" s="176" t="s">
        <v>334</v>
      </c>
      <c r="H453" s="178" t="s">
        <v>325</v>
      </c>
      <c r="I453" s="175" t="s">
        <v>231</v>
      </c>
      <c r="J453" s="179" t="s">
        <v>352</v>
      </c>
      <c r="K453" s="179"/>
      <c r="L453" s="176" t="s">
        <v>370</v>
      </c>
      <c r="M453" s="180">
        <f t="shared" si="27"/>
        <v>579846.7091064452</v>
      </c>
      <c r="N453" s="181">
        <v>0</v>
      </c>
      <c r="O453" s="181">
        <v>0</v>
      </c>
      <c r="P453" s="181">
        <v>0</v>
      </c>
      <c r="Q453" s="181">
        <v>0</v>
      </c>
      <c r="R453" s="181">
        <v>0</v>
      </c>
      <c r="S453" s="182">
        <f t="shared" si="26"/>
        <v>579846.7091064452</v>
      </c>
      <c r="T453" s="183"/>
    </row>
    <row r="454" spans="1:20" ht="11.25">
      <c r="A454" s="175" t="s">
        <v>273</v>
      </c>
      <c r="B454" s="175">
        <v>7</v>
      </c>
      <c r="C454" s="176" t="s">
        <v>469</v>
      </c>
      <c r="D454" s="176" t="s">
        <v>331</v>
      </c>
      <c r="E454" s="176" t="s">
        <v>350</v>
      </c>
      <c r="F454" s="176"/>
      <c r="G454" s="176" t="s">
        <v>334</v>
      </c>
      <c r="H454" s="178" t="s">
        <v>325</v>
      </c>
      <c r="I454" s="175" t="s">
        <v>231</v>
      </c>
      <c r="J454" s="179" t="s">
        <v>352</v>
      </c>
      <c r="K454" s="179"/>
      <c r="L454" s="176" t="s">
        <v>370</v>
      </c>
      <c r="M454" s="180">
        <f t="shared" si="27"/>
        <v>594342.8768341063</v>
      </c>
      <c r="N454" s="181">
        <v>0</v>
      </c>
      <c r="O454" s="181">
        <v>0</v>
      </c>
      <c r="P454" s="181">
        <v>0</v>
      </c>
      <c r="Q454" s="181">
        <v>0</v>
      </c>
      <c r="R454" s="181">
        <v>0</v>
      </c>
      <c r="S454" s="182">
        <f t="shared" si="26"/>
        <v>594342.8768341063</v>
      </c>
      <c r="T454" s="183"/>
    </row>
    <row r="455" spans="1:20" ht="11.25">
      <c r="A455" s="175" t="s">
        <v>274</v>
      </c>
      <c r="B455" s="175">
        <v>8</v>
      </c>
      <c r="C455" s="176" t="s">
        <v>469</v>
      </c>
      <c r="D455" s="176" t="s">
        <v>331</v>
      </c>
      <c r="E455" s="176" t="s">
        <v>350</v>
      </c>
      <c r="F455" s="176"/>
      <c r="G455" s="176" t="s">
        <v>334</v>
      </c>
      <c r="H455" s="178" t="s">
        <v>325</v>
      </c>
      <c r="I455" s="175" t="s">
        <v>231</v>
      </c>
      <c r="J455" s="179" t="s">
        <v>352</v>
      </c>
      <c r="K455" s="179"/>
      <c r="L455" s="176" t="s">
        <v>370</v>
      </c>
      <c r="M455" s="180">
        <f t="shared" si="27"/>
        <v>609201.4487549589</v>
      </c>
      <c r="N455" s="181">
        <v>0</v>
      </c>
      <c r="O455" s="181">
        <v>0</v>
      </c>
      <c r="P455" s="181">
        <v>0</v>
      </c>
      <c r="Q455" s="181">
        <v>0</v>
      </c>
      <c r="R455" s="181">
        <v>0</v>
      </c>
      <c r="S455" s="182">
        <f t="shared" si="26"/>
        <v>609201.4487549589</v>
      </c>
      <c r="T455" s="183"/>
    </row>
    <row r="456" spans="1:20" ht="11.25">
      <c r="A456" s="175" t="s">
        <v>275</v>
      </c>
      <c r="B456" s="175">
        <v>9</v>
      </c>
      <c r="C456" s="176" t="s">
        <v>469</v>
      </c>
      <c r="D456" s="176" t="s">
        <v>331</v>
      </c>
      <c r="E456" s="176" t="s">
        <v>350</v>
      </c>
      <c r="F456" s="176"/>
      <c r="G456" s="176" t="s">
        <v>334</v>
      </c>
      <c r="H456" s="178" t="s">
        <v>325</v>
      </c>
      <c r="I456" s="175" t="s">
        <v>231</v>
      </c>
      <c r="J456" s="179" t="s">
        <v>352</v>
      </c>
      <c r="K456" s="179"/>
      <c r="L456" s="176" t="s">
        <v>370</v>
      </c>
      <c r="M456" s="180">
        <f t="shared" si="27"/>
        <v>624431.4849738328</v>
      </c>
      <c r="N456" s="181">
        <v>0</v>
      </c>
      <c r="O456" s="181">
        <v>0</v>
      </c>
      <c r="P456" s="181">
        <v>0</v>
      </c>
      <c r="Q456" s="181">
        <v>0</v>
      </c>
      <c r="R456" s="181">
        <v>0</v>
      </c>
      <c r="S456" s="182">
        <f t="shared" si="26"/>
        <v>624431.4849738328</v>
      </c>
      <c r="T456" s="183"/>
    </row>
    <row r="457" spans="1:20" ht="11.25">
      <c r="A457" s="175" t="s">
        <v>276</v>
      </c>
      <c r="B457" s="175">
        <v>10</v>
      </c>
      <c r="C457" s="176" t="s">
        <v>469</v>
      </c>
      <c r="D457" s="176" t="s">
        <v>331</v>
      </c>
      <c r="E457" s="176" t="s">
        <v>350</v>
      </c>
      <c r="F457" s="176"/>
      <c r="G457" s="176" t="s">
        <v>334</v>
      </c>
      <c r="H457" s="178" t="s">
        <v>325</v>
      </c>
      <c r="I457" s="175" t="s">
        <v>231</v>
      </c>
      <c r="J457" s="179" t="s">
        <v>352</v>
      </c>
      <c r="K457" s="179"/>
      <c r="L457" s="176" t="s">
        <v>370</v>
      </c>
      <c r="M457" s="180">
        <f t="shared" si="27"/>
        <v>640042.2720981786</v>
      </c>
      <c r="N457" s="181">
        <v>0</v>
      </c>
      <c r="O457" s="181">
        <v>0</v>
      </c>
      <c r="P457" s="181">
        <v>0</v>
      </c>
      <c r="Q457" s="181">
        <v>0</v>
      </c>
      <c r="R457" s="181">
        <v>0</v>
      </c>
      <c r="S457" s="182">
        <f t="shared" si="26"/>
        <v>640042.2720981786</v>
      </c>
      <c r="T457" s="183"/>
    </row>
    <row r="458" spans="1:20" ht="11.25">
      <c r="A458" s="175" t="s">
        <v>277</v>
      </c>
      <c r="B458" s="175">
        <v>11</v>
      </c>
      <c r="C458" s="176" t="s">
        <v>469</v>
      </c>
      <c r="D458" s="176" t="s">
        <v>331</v>
      </c>
      <c r="E458" s="176" t="s">
        <v>350</v>
      </c>
      <c r="F458" s="176"/>
      <c r="G458" s="176" t="s">
        <v>334</v>
      </c>
      <c r="H458" s="178" t="s">
        <v>325</v>
      </c>
      <c r="I458" s="175" t="s">
        <v>231</v>
      </c>
      <c r="J458" s="179" t="s">
        <v>352</v>
      </c>
      <c r="K458" s="179"/>
      <c r="L458" s="176" t="s">
        <v>370</v>
      </c>
      <c r="M458" s="180">
        <f t="shared" si="27"/>
        <v>656043.328900633</v>
      </c>
      <c r="N458" s="181">
        <v>0</v>
      </c>
      <c r="O458" s="181">
        <v>0</v>
      </c>
      <c r="P458" s="181">
        <v>0</v>
      </c>
      <c r="Q458" s="181">
        <v>0</v>
      </c>
      <c r="R458" s="181">
        <v>0</v>
      </c>
      <c r="S458" s="182">
        <f t="shared" si="26"/>
        <v>656043.328900633</v>
      </c>
      <c r="T458" s="183"/>
    </row>
    <row r="459" spans="1:20" ht="11.25">
      <c r="A459" s="175" t="s">
        <v>278</v>
      </c>
      <c r="B459" s="175">
        <v>12</v>
      </c>
      <c r="C459" s="176" t="s">
        <v>469</v>
      </c>
      <c r="D459" s="176" t="s">
        <v>331</v>
      </c>
      <c r="E459" s="176" t="s">
        <v>350</v>
      </c>
      <c r="F459" s="176"/>
      <c r="G459" s="176" t="s">
        <v>334</v>
      </c>
      <c r="H459" s="178" t="s">
        <v>325</v>
      </c>
      <c r="I459" s="175" t="s">
        <v>231</v>
      </c>
      <c r="J459" s="179" t="s">
        <v>352</v>
      </c>
      <c r="K459" s="179"/>
      <c r="L459" s="176" t="s">
        <v>370</v>
      </c>
      <c r="M459" s="180">
        <f t="shared" si="27"/>
        <v>672444.4121231488</v>
      </c>
      <c r="N459" s="181">
        <v>0</v>
      </c>
      <c r="O459" s="181">
        <v>0</v>
      </c>
      <c r="P459" s="181">
        <v>0</v>
      </c>
      <c r="Q459" s="181">
        <v>0</v>
      </c>
      <c r="R459" s="181">
        <v>0</v>
      </c>
      <c r="S459" s="182">
        <f t="shared" si="26"/>
        <v>672444.4121231488</v>
      </c>
      <c r="T459" s="183"/>
    </row>
    <row r="460" spans="1:20" ht="11.25">
      <c r="A460" s="175" t="s">
        <v>279</v>
      </c>
      <c r="B460" s="175">
        <v>13</v>
      </c>
      <c r="C460" s="176" t="s">
        <v>469</v>
      </c>
      <c r="D460" s="176" t="s">
        <v>331</v>
      </c>
      <c r="E460" s="176" t="s">
        <v>350</v>
      </c>
      <c r="F460" s="176"/>
      <c r="G460" s="176" t="s">
        <v>334</v>
      </c>
      <c r="H460" s="178" t="s">
        <v>325</v>
      </c>
      <c r="I460" s="175" t="s">
        <v>231</v>
      </c>
      <c r="J460" s="179" t="s">
        <v>352</v>
      </c>
      <c r="K460" s="179"/>
      <c r="L460" s="176" t="s">
        <v>370</v>
      </c>
      <c r="M460" s="180">
        <f t="shared" si="27"/>
        <v>689255.5224262275</v>
      </c>
      <c r="N460" s="181">
        <v>0</v>
      </c>
      <c r="O460" s="181">
        <v>0</v>
      </c>
      <c r="P460" s="181">
        <v>0</v>
      </c>
      <c r="Q460" s="181">
        <v>0</v>
      </c>
      <c r="R460" s="181">
        <v>0</v>
      </c>
      <c r="S460" s="182">
        <f t="shared" si="26"/>
        <v>689255.5224262275</v>
      </c>
      <c r="T460" s="183"/>
    </row>
    <row r="461" spans="1:20" ht="11.25">
      <c r="A461" s="175" t="s">
        <v>280</v>
      </c>
      <c r="B461" s="175">
        <v>14</v>
      </c>
      <c r="C461" s="176" t="s">
        <v>469</v>
      </c>
      <c r="D461" s="176" t="s">
        <v>331</v>
      </c>
      <c r="E461" s="176" t="s">
        <v>350</v>
      </c>
      <c r="F461" s="176"/>
      <c r="G461" s="176" t="s">
        <v>334</v>
      </c>
      <c r="H461" s="178" t="s">
        <v>325</v>
      </c>
      <c r="I461" s="175" t="s">
        <v>231</v>
      </c>
      <c r="J461" s="179" t="s">
        <v>352</v>
      </c>
      <c r="K461" s="179"/>
      <c r="L461" s="176" t="s">
        <v>370</v>
      </c>
      <c r="M461" s="180">
        <f t="shared" si="27"/>
        <v>706486.9104868831</v>
      </c>
      <c r="N461" s="181">
        <v>0</v>
      </c>
      <c r="O461" s="181">
        <v>0</v>
      </c>
      <c r="P461" s="181">
        <v>0</v>
      </c>
      <c r="Q461" s="181">
        <v>0</v>
      </c>
      <c r="R461" s="181">
        <v>0</v>
      </c>
      <c r="S461" s="182">
        <f t="shared" si="26"/>
        <v>706486.9104868831</v>
      </c>
      <c r="T461" s="183"/>
    </row>
    <row r="462" spans="1:20" ht="11.25">
      <c r="A462" s="175" t="s">
        <v>281</v>
      </c>
      <c r="B462" s="175">
        <v>15</v>
      </c>
      <c r="C462" s="176" t="s">
        <v>469</v>
      </c>
      <c r="D462" s="176" t="s">
        <v>331</v>
      </c>
      <c r="E462" s="176" t="s">
        <v>350</v>
      </c>
      <c r="F462" s="176"/>
      <c r="G462" s="176" t="s">
        <v>334</v>
      </c>
      <c r="H462" s="178" t="s">
        <v>325</v>
      </c>
      <c r="I462" s="175" t="s">
        <v>231</v>
      </c>
      <c r="J462" s="179" t="s">
        <v>352</v>
      </c>
      <c r="K462" s="179"/>
      <c r="L462" s="176" t="s">
        <v>370</v>
      </c>
      <c r="M462" s="180">
        <f t="shared" si="27"/>
        <v>724149.0832490552</v>
      </c>
      <c r="N462" s="181">
        <v>0</v>
      </c>
      <c r="O462" s="181">
        <v>0</v>
      </c>
      <c r="P462" s="181">
        <v>0</v>
      </c>
      <c r="Q462" s="181">
        <v>0</v>
      </c>
      <c r="R462" s="181">
        <v>0</v>
      </c>
      <c r="S462" s="182">
        <f t="shared" si="26"/>
        <v>724149.0832490552</v>
      </c>
      <c r="T462" s="183"/>
    </row>
    <row r="463" spans="1:20" ht="11.25">
      <c r="A463" s="175" t="s">
        <v>282</v>
      </c>
      <c r="B463" s="175">
        <v>16</v>
      </c>
      <c r="C463" s="176" t="s">
        <v>469</v>
      </c>
      <c r="D463" s="176" t="s">
        <v>331</v>
      </c>
      <c r="E463" s="176" t="s">
        <v>350</v>
      </c>
      <c r="F463" s="176"/>
      <c r="G463" s="176" t="s">
        <v>334</v>
      </c>
      <c r="H463" s="178" t="s">
        <v>325</v>
      </c>
      <c r="I463" s="175" t="s">
        <v>231</v>
      </c>
      <c r="J463" s="179" t="s">
        <v>352</v>
      </c>
      <c r="K463" s="179"/>
      <c r="L463" s="176" t="s">
        <v>370</v>
      </c>
      <c r="M463" s="180">
        <f t="shared" si="27"/>
        <v>742252.8103302815</v>
      </c>
      <c r="N463" s="181">
        <v>0</v>
      </c>
      <c r="O463" s="181">
        <v>0</v>
      </c>
      <c r="P463" s="181">
        <v>0</v>
      </c>
      <c r="Q463" s="181">
        <v>0</v>
      </c>
      <c r="R463" s="181">
        <v>0</v>
      </c>
      <c r="S463" s="182">
        <f t="shared" si="26"/>
        <v>742252.8103302815</v>
      </c>
      <c r="T463" s="183"/>
    </row>
    <row r="464" spans="1:20" ht="11.25">
      <c r="A464" s="175" t="s">
        <v>283</v>
      </c>
      <c r="B464" s="175">
        <v>17</v>
      </c>
      <c r="C464" s="176" t="s">
        <v>469</v>
      </c>
      <c r="D464" s="176" t="s">
        <v>331</v>
      </c>
      <c r="E464" s="176" t="s">
        <v>350</v>
      </c>
      <c r="F464" s="176"/>
      <c r="G464" s="176" t="s">
        <v>334</v>
      </c>
      <c r="H464" s="178" t="s">
        <v>325</v>
      </c>
      <c r="I464" s="175" t="s">
        <v>231</v>
      </c>
      <c r="J464" s="179" t="s">
        <v>352</v>
      </c>
      <c r="K464" s="179"/>
      <c r="L464" s="176" t="s">
        <v>370</v>
      </c>
      <c r="M464" s="180">
        <f t="shared" si="27"/>
        <v>760809.1305885385</v>
      </c>
      <c r="N464" s="181">
        <v>0</v>
      </c>
      <c r="O464" s="181">
        <v>0</v>
      </c>
      <c r="P464" s="181">
        <v>0</v>
      </c>
      <c r="Q464" s="181">
        <v>0</v>
      </c>
      <c r="R464" s="181">
        <v>0</v>
      </c>
      <c r="S464" s="182">
        <f t="shared" si="26"/>
        <v>760809.1305885385</v>
      </c>
      <c r="T464" s="183"/>
    </row>
    <row r="465" spans="1:20" ht="11.25">
      <c r="A465" s="175" t="s">
        <v>284</v>
      </c>
      <c r="B465" s="175">
        <v>18</v>
      </c>
      <c r="C465" s="176" t="s">
        <v>469</v>
      </c>
      <c r="D465" s="176" t="s">
        <v>331</v>
      </c>
      <c r="E465" s="176" t="s">
        <v>350</v>
      </c>
      <c r="F465" s="176"/>
      <c r="G465" s="176" t="s">
        <v>334</v>
      </c>
      <c r="H465" s="178" t="s">
        <v>325</v>
      </c>
      <c r="I465" s="175" t="s">
        <v>231</v>
      </c>
      <c r="J465" s="179" t="s">
        <v>352</v>
      </c>
      <c r="K465" s="179"/>
      <c r="L465" s="176" t="s">
        <v>370</v>
      </c>
      <c r="M465" s="180">
        <f t="shared" si="27"/>
        <v>779829.3588532519</v>
      </c>
      <c r="N465" s="181">
        <v>0</v>
      </c>
      <c r="O465" s="181">
        <v>0</v>
      </c>
      <c r="P465" s="181">
        <v>0</v>
      </c>
      <c r="Q465" s="181">
        <v>0</v>
      </c>
      <c r="R465" s="181">
        <v>0</v>
      </c>
      <c r="S465" s="182">
        <f t="shared" si="26"/>
        <v>779829.3588532519</v>
      </c>
      <c r="T465" s="183"/>
    </row>
    <row r="466" spans="1:20" ht="11.25">
      <c r="A466" s="175" t="s">
        <v>285</v>
      </c>
      <c r="B466" s="175">
        <v>19</v>
      </c>
      <c r="C466" s="176" t="s">
        <v>469</v>
      </c>
      <c r="D466" s="176" t="s">
        <v>331</v>
      </c>
      <c r="E466" s="176" t="s">
        <v>350</v>
      </c>
      <c r="F466" s="176"/>
      <c r="G466" s="176" t="s">
        <v>334</v>
      </c>
      <c r="H466" s="178" t="s">
        <v>325</v>
      </c>
      <c r="I466" s="175" t="s">
        <v>231</v>
      </c>
      <c r="J466" s="179" t="s">
        <v>352</v>
      </c>
      <c r="K466" s="179"/>
      <c r="L466" s="176" t="s">
        <v>370</v>
      </c>
      <c r="M466" s="180">
        <f t="shared" si="27"/>
        <v>799325.0928245832</v>
      </c>
      <c r="N466" s="181">
        <v>0</v>
      </c>
      <c r="O466" s="181">
        <v>0</v>
      </c>
      <c r="P466" s="181">
        <v>0</v>
      </c>
      <c r="Q466" s="181">
        <v>0</v>
      </c>
      <c r="R466" s="181">
        <v>0</v>
      </c>
      <c r="S466" s="182">
        <f t="shared" si="26"/>
        <v>799325.0928245832</v>
      </c>
      <c r="T466" s="183"/>
    </row>
    <row r="467" spans="1:20" ht="11.25">
      <c r="A467" s="175" t="s">
        <v>303</v>
      </c>
      <c r="B467" s="175">
        <v>20</v>
      </c>
      <c r="C467" s="176" t="s">
        <v>469</v>
      </c>
      <c r="D467" s="176" t="s">
        <v>331</v>
      </c>
      <c r="E467" s="176" t="s">
        <v>350</v>
      </c>
      <c r="F467" s="176"/>
      <c r="G467" s="176" t="s">
        <v>334</v>
      </c>
      <c r="H467" s="178" t="s">
        <v>325</v>
      </c>
      <c r="I467" s="175" t="s">
        <v>231</v>
      </c>
      <c r="J467" s="179" t="s">
        <v>352</v>
      </c>
      <c r="K467" s="179"/>
      <c r="L467" s="176" t="s">
        <v>370</v>
      </c>
      <c r="M467" s="180">
        <f t="shared" si="27"/>
        <v>819308.2201451977</v>
      </c>
      <c r="N467" s="181">
        <v>0</v>
      </c>
      <c r="O467" s="181">
        <v>0</v>
      </c>
      <c r="P467" s="181">
        <v>0</v>
      </c>
      <c r="Q467" s="181">
        <v>0</v>
      </c>
      <c r="R467" s="181">
        <v>0</v>
      </c>
      <c r="S467" s="182">
        <f t="shared" si="26"/>
        <v>819308.2201451977</v>
      </c>
      <c r="T467" s="183"/>
    </row>
    <row r="468" spans="1:20" ht="11.25">
      <c r="A468" s="175" t="s">
        <v>265</v>
      </c>
      <c r="B468" s="175">
        <v>0</v>
      </c>
      <c r="C468" s="176" t="s">
        <v>469</v>
      </c>
      <c r="D468" s="176" t="s">
        <v>331</v>
      </c>
      <c r="E468" s="176" t="s">
        <v>350</v>
      </c>
      <c r="F468" s="176"/>
      <c r="G468" s="176" t="s">
        <v>324</v>
      </c>
      <c r="H468" s="178" t="s">
        <v>325</v>
      </c>
      <c r="I468" s="175" t="s">
        <v>231</v>
      </c>
      <c r="J468" s="179" t="s">
        <v>326</v>
      </c>
      <c r="K468" s="179"/>
      <c r="L468" s="176" t="s">
        <v>371</v>
      </c>
      <c r="M468" s="180">
        <v>1235187</v>
      </c>
      <c r="N468" s="181">
        <v>0</v>
      </c>
      <c r="O468" s="181">
        <v>0</v>
      </c>
      <c r="P468" s="181">
        <v>0</v>
      </c>
      <c r="Q468" s="181">
        <v>0</v>
      </c>
      <c r="R468" s="181">
        <v>0</v>
      </c>
      <c r="S468" s="182">
        <f t="shared" si="26"/>
        <v>1235187</v>
      </c>
      <c r="T468" s="183"/>
    </row>
    <row r="469" spans="1:20" ht="11.25">
      <c r="A469" s="175" t="s">
        <v>267</v>
      </c>
      <c r="B469" s="175">
        <v>1</v>
      </c>
      <c r="C469" s="176" t="s">
        <v>469</v>
      </c>
      <c r="D469" s="176" t="s">
        <v>331</v>
      </c>
      <c r="E469" s="176" t="s">
        <v>350</v>
      </c>
      <c r="F469" s="176"/>
      <c r="G469" s="176" t="s">
        <v>324</v>
      </c>
      <c r="H469" s="178" t="s">
        <v>325</v>
      </c>
      <c r="I469" s="175" t="s">
        <v>231</v>
      </c>
      <c r="J469" s="179" t="s">
        <v>231</v>
      </c>
      <c r="K469" s="179"/>
      <c r="L469" s="176" t="s">
        <v>371</v>
      </c>
      <c r="M469" s="180">
        <f>IF(J469="Y",M468*(1+$F$4),IF(J469="I",M468*(1+$E$4),M468))</f>
        <v>1284594.48</v>
      </c>
      <c r="N469" s="181">
        <v>0</v>
      </c>
      <c r="O469" s="181">
        <v>0</v>
      </c>
      <c r="P469" s="181">
        <v>0</v>
      </c>
      <c r="Q469" s="181">
        <v>0</v>
      </c>
      <c r="R469" s="181">
        <v>0</v>
      </c>
      <c r="S469" s="182">
        <f t="shared" si="26"/>
        <v>1284594.48</v>
      </c>
      <c r="T469" s="183"/>
    </row>
    <row r="470" spans="1:20" ht="11.25">
      <c r="A470" s="175" t="s">
        <v>268</v>
      </c>
      <c r="B470" s="175">
        <v>2</v>
      </c>
      <c r="C470" s="176" t="s">
        <v>469</v>
      </c>
      <c r="D470" s="176" t="s">
        <v>331</v>
      </c>
      <c r="E470" s="176" t="s">
        <v>350</v>
      </c>
      <c r="F470" s="176"/>
      <c r="G470" s="176" t="s">
        <v>324</v>
      </c>
      <c r="H470" s="178" t="s">
        <v>325</v>
      </c>
      <c r="I470" s="175" t="s">
        <v>231</v>
      </c>
      <c r="J470" s="179" t="s">
        <v>231</v>
      </c>
      <c r="K470" s="179"/>
      <c r="L470" s="176" t="s">
        <v>371</v>
      </c>
      <c r="M470" s="180">
        <f aca="true" t="shared" si="28" ref="M470:M488">IF(J470="Y",M469*(1+$C$4),IF(J470="I",M469*(1+$E$4),M469))</f>
        <v>1335978.2592</v>
      </c>
      <c r="N470" s="181">
        <v>0</v>
      </c>
      <c r="O470" s="181">
        <v>0</v>
      </c>
      <c r="P470" s="181">
        <v>0</v>
      </c>
      <c r="Q470" s="181">
        <v>0</v>
      </c>
      <c r="R470" s="181">
        <v>0</v>
      </c>
      <c r="S470" s="182">
        <f t="shared" si="26"/>
        <v>1335978.2592</v>
      </c>
      <c r="T470" s="183"/>
    </row>
    <row r="471" spans="1:20" ht="11.25">
      <c r="A471" s="175" t="s">
        <v>269</v>
      </c>
      <c r="B471" s="175">
        <v>3</v>
      </c>
      <c r="C471" s="176" t="s">
        <v>469</v>
      </c>
      <c r="D471" s="176" t="s">
        <v>331</v>
      </c>
      <c r="E471" s="176" t="s">
        <v>350</v>
      </c>
      <c r="F471" s="176"/>
      <c r="G471" s="176" t="s">
        <v>324</v>
      </c>
      <c r="H471" s="178" t="s">
        <v>325</v>
      </c>
      <c r="I471" s="175" t="s">
        <v>231</v>
      </c>
      <c r="J471" s="179" t="s">
        <v>231</v>
      </c>
      <c r="K471" s="179"/>
      <c r="L471" s="176" t="s">
        <v>371</v>
      </c>
      <c r="M471" s="180">
        <f t="shared" si="28"/>
        <v>1389417.389568</v>
      </c>
      <c r="N471" s="181">
        <v>0</v>
      </c>
      <c r="O471" s="181">
        <v>0</v>
      </c>
      <c r="P471" s="181">
        <v>0</v>
      </c>
      <c r="Q471" s="181">
        <v>0</v>
      </c>
      <c r="R471" s="181">
        <v>0</v>
      </c>
      <c r="S471" s="182">
        <f t="shared" si="26"/>
        <v>1389417.389568</v>
      </c>
      <c r="T471" s="183"/>
    </row>
    <row r="472" spans="1:20" ht="11.25">
      <c r="A472" s="175" t="s">
        <v>270</v>
      </c>
      <c r="B472" s="175">
        <v>4</v>
      </c>
      <c r="C472" s="176" t="s">
        <v>469</v>
      </c>
      <c r="D472" s="176" t="s">
        <v>331</v>
      </c>
      <c r="E472" s="176" t="s">
        <v>350</v>
      </c>
      <c r="F472" s="176"/>
      <c r="G472" s="176" t="s">
        <v>324</v>
      </c>
      <c r="H472" s="178" t="s">
        <v>325</v>
      </c>
      <c r="I472" s="175" t="s">
        <v>231</v>
      </c>
      <c r="J472" s="179" t="s">
        <v>231</v>
      </c>
      <c r="K472" s="179"/>
      <c r="L472" s="176" t="s">
        <v>371</v>
      </c>
      <c r="M472" s="180">
        <f t="shared" si="28"/>
        <v>1444994.08515072</v>
      </c>
      <c r="N472" s="181">
        <v>0</v>
      </c>
      <c r="O472" s="181">
        <v>0</v>
      </c>
      <c r="P472" s="181">
        <v>0</v>
      </c>
      <c r="Q472" s="181">
        <v>0</v>
      </c>
      <c r="R472" s="181">
        <v>0</v>
      </c>
      <c r="S472" s="182">
        <f t="shared" si="26"/>
        <v>1444994.08515072</v>
      </c>
      <c r="T472" s="183"/>
    </row>
    <row r="473" spans="1:20" ht="11.25">
      <c r="A473" s="175" t="s">
        <v>271</v>
      </c>
      <c r="B473" s="175">
        <v>5</v>
      </c>
      <c r="C473" s="176" t="s">
        <v>469</v>
      </c>
      <c r="D473" s="176" t="s">
        <v>331</v>
      </c>
      <c r="E473" s="176" t="s">
        <v>350</v>
      </c>
      <c r="F473" s="176"/>
      <c r="G473" s="176" t="s">
        <v>324</v>
      </c>
      <c r="H473" s="178" t="s">
        <v>325</v>
      </c>
      <c r="I473" s="175" t="s">
        <v>231</v>
      </c>
      <c r="J473" s="179" t="s">
        <v>231</v>
      </c>
      <c r="K473" s="179"/>
      <c r="L473" s="176" t="s">
        <v>371</v>
      </c>
      <c r="M473" s="180">
        <f t="shared" si="28"/>
        <v>1502793.848556749</v>
      </c>
      <c r="N473" s="181">
        <v>0</v>
      </c>
      <c r="O473" s="181">
        <v>0</v>
      </c>
      <c r="P473" s="181">
        <v>0</v>
      </c>
      <c r="Q473" s="181">
        <v>0</v>
      </c>
      <c r="R473" s="181">
        <v>0</v>
      </c>
      <c r="S473" s="182">
        <f t="shared" si="26"/>
        <v>1502793.848556749</v>
      </c>
      <c r="T473" s="183"/>
    </row>
    <row r="474" spans="1:20" ht="11.25">
      <c r="A474" s="175" t="s">
        <v>272</v>
      </c>
      <c r="B474" s="175">
        <v>6</v>
      </c>
      <c r="C474" s="176" t="s">
        <v>469</v>
      </c>
      <c r="D474" s="176" t="s">
        <v>331</v>
      </c>
      <c r="E474" s="176" t="s">
        <v>350</v>
      </c>
      <c r="F474" s="176"/>
      <c r="G474" s="176" t="s">
        <v>324</v>
      </c>
      <c r="H474" s="178" t="s">
        <v>325</v>
      </c>
      <c r="I474" s="175" t="s">
        <v>231</v>
      </c>
      <c r="J474" s="179" t="s">
        <v>231</v>
      </c>
      <c r="K474" s="179"/>
      <c r="L474" s="176" t="s">
        <v>371</v>
      </c>
      <c r="M474" s="180">
        <f t="shared" si="28"/>
        <v>1562905.6024990191</v>
      </c>
      <c r="N474" s="181">
        <v>0</v>
      </c>
      <c r="O474" s="181">
        <v>0</v>
      </c>
      <c r="P474" s="181">
        <v>0</v>
      </c>
      <c r="Q474" s="181">
        <v>0</v>
      </c>
      <c r="R474" s="181">
        <v>0</v>
      </c>
      <c r="S474" s="182">
        <f t="shared" si="26"/>
        <v>1562905.6024990191</v>
      </c>
      <c r="T474" s="183"/>
    </row>
    <row r="475" spans="1:20" ht="11.25">
      <c r="A475" s="175" t="s">
        <v>273</v>
      </c>
      <c r="B475" s="175">
        <v>7</v>
      </c>
      <c r="C475" s="176" t="s">
        <v>469</v>
      </c>
      <c r="D475" s="176" t="s">
        <v>331</v>
      </c>
      <c r="E475" s="176" t="s">
        <v>350</v>
      </c>
      <c r="F475" s="176"/>
      <c r="G475" s="176" t="s">
        <v>324</v>
      </c>
      <c r="H475" s="178" t="s">
        <v>325</v>
      </c>
      <c r="I475" s="175" t="s">
        <v>231</v>
      </c>
      <c r="J475" s="179" t="s">
        <v>231</v>
      </c>
      <c r="K475" s="179"/>
      <c r="L475" s="176" t="s">
        <v>371</v>
      </c>
      <c r="M475" s="180">
        <f t="shared" si="28"/>
        <v>1625421.82659898</v>
      </c>
      <c r="N475" s="181">
        <v>0</v>
      </c>
      <c r="O475" s="181">
        <v>0</v>
      </c>
      <c r="P475" s="181">
        <v>0</v>
      </c>
      <c r="Q475" s="181">
        <v>0</v>
      </c>
      <c r="R475" s="181">
        <v>0</v>
      </c>
      <c r="S475" s="182">
        <f aca="true" t="shared" si="29" ref="S475:S538">M475-SUM(N475:R475)</f>
        <v>1625421.82659898</v>
      </c>
      <c r="T475" s="183"/>
    </row>
    <row r="476" spans="1:20" ht="11.25">
      <c r="A476" s="175" t="s">
        <v>274</v>
      </c>
      <c r="B476" s="175">
        <v>8</v>
      </c>
      <c r="C476" s="176" t="s">
        <v>469</v>
      </c>
      <c r="D476" s="176" t="s">
        <v>331</v>
      </c>
      <c r="E476" s="176" t="s">
        <v>350</v>
      </c>
      <c r="F476" s="176"/>
      <c r="G476" s="176" t="s">
        <v>324</v>
      </c>
      <c r="H476" s="178" t="s">
        <v>325</v>
      </c>
      <c r="I476" s="175" t="s">
        <v>231</v>
      </c>
      <c r="J476" s="179" t="s">
        <v>231</v>
      </c>
      <c r="K476" s="179"/>
      <c r="L476" s="176" t="s">
        <v>371</v>
      </c>
      <c r="M476" s="180">
        <f t="shared" si="28"/>
        <v>1690438.6996629392</v>
      </c>
      <c r="N476" s="181">
        <v>0</v>
      </c>
      <c r="O476" s="181">
        <v>0</v>
      </c>
      <c r="P476" s="181">
        <v>0</v>
      </c>
      <c r="Q476" s="181">
        <v>0</v>
      </c>
      <c r="R476" s="181">
        <v>0</v>
      </c>
      <c r="S476" s="182">
        <f t="shared" si="29"/>
        <v>1690438.6996629392</v>
      </c>
      <c r="T476" s="183"/>
    </row>
    <row r="477" spans="1:20" ht="11.25">
      <c r="A477" s="175" t="s">
        <v>275</v>
      </c>
      <c r="B477" s="175">
        <v>9</v>
      </c>
      <c r="C477" s="176" t="s">
        <v>469</v>
      </c>
      <c r="D477" s="176" t="s">
        <v>331</v>
      </c>
      <c r="E477" s="176" t="s">
        <v>350</v>
      </c>
      <c r="F477" s="176"/>
      <c r="G477" s="176" t="s">
        <v>324</v>
      </c>
      <c r="H477" s="178" t="s">
        <v>325</v>
      </c>
      <c r="I477" s="175" t="s">
        <v>231</v>
      </c>
      <c r="J477" s="179" t="s">
        <v>231</v>
      </c>
      <c r="K477" s="179"/>
      <c r="L477" s="176" t="s">
        <v>371</v>
      </c>
      <c r="M477" s="180">
        <f t="shared" si="28"/>
        <v>1758056.2476494568</v>
      </c>
      <c r="N477" s="181">
        <v>0</v>
      </c>
      <c r="O477" s="181">
        <v>0</v>
      </c>
      <c r="P477" s="181">
        <v>0</v>
      </c>
      <c r="Q477" s="181">
        <v>0</v>
      </c>
      <c r="R477" s="181">
        <v>0</v>
      </c>
      <c r="S477" s="182">
        <f t="shared" si="29"/>
        <v>1758056.2476494568</v>
      </c>
      <c r="T477" s="183"/>
    </row>
    <row r="478" spans="1:20" ht="11.25">
      <c r="A478" s="175" t="s">
        <v>276</v>
      </c>
      <c r="B478" s="175">
        <v>10</v>
      </c>
      <c r="C478" s="176" t="s">
        <v>469</v>
      </c>
      <c r="D478" s="176" t="s">
        <v>331</v>
      </c>
      <c r="E478" s="176" t="s">
        <v>350</v>
      </c>
      <c r="F478" s="176"/>
      <c r="G478" s="176" t="s">
        <v>324</v>
      </c>
      <c r="H478" s="178" t="s">
        <v>325</v>
      </c>
      <c r="I478" s="175" t="s">
        <v>231</v>
      </c>
      <c r="J478" s="179" t="s">
        <v>231</v>
      </c>
      <c r="K478" s="179"/>
      <c r="L478" s="176" t="s">
        <v>371</v>
      </c>
      <c r="M478" s="180">
        <f t="shared" si="28"/>
        <v>1828378.4975554352</v>
      </c>
      <c r="N478" s="181">
        <v>0</v>
      </c>
      <c r="O478" s="181">
        <v>0</v>
      </c>
      <c r="P478" s="181">
        <v>0</v>
      </c>
      <c r="Q478" s="181">
        <v>0</v>
      </c>
      <c r="R478" s="181">
        <v>0</v>
      </c>
      <c r="S478" s="182">
        <f t="shared" si="29"/>
        <v>1828378.4975554352</v>
      </c>
      <c r="T478" s="183"/>
    </row>
    <row r="479" spans="1:20" ht="11.25">
      <c r="A479" s="175" t="s">
        <v>277</v>
      </c>
      <c r="B479" s="175">
        <v>11</v>
      </c>
      <c r="C479" s="176" t="s">
        <v>469</v>
      </c>
      <c r="D479" s="176" t="s">
        <v>331</v>
      </c>
      <c r="E479" s="176" t="s">
        <v>350</v>
      </c>
      <c r="F479" s="176"/>
      <c r="G479" s="176" t="s">
        <v>324</v>
      </c>
      <c r="H479" s="178" t="s">
        <v>325</v>
      </c>
      <c r="I479" s="175" t="s">
        <v>231</v>
      </c>
      <c r="J479" s="179" t="s">
        <v>231</v>
      </c>
      <c r="K479" s="179"/>
      <c r="L479" s="176" t="s">
        <v>371</v>
      </c>
      <c r="M479" s="180">
        <f t="shared" si="28"/>
        <v>1901513.6374576527</v>
      </c>
      <c r="N479" s="181">
        <v>0</v>
      </c>
      <c r="O479" s="181">
        <v>0</v>
      </c>
      <c r="P479" s="181">
        <v>0</v>
      </c>
      <c r="Q479" s="181">
        <v>0</v>
      </c>
      <c r="R479" s="181">
        <v>0</v>
      </c>
      <c r="S479" s="182">
        <f t="shared" si="29"/>
        <v>1901513.6374576527</v>
      </c>
      <c r="T479" s="183"/>
    </row>
    <row r="480" spans="1:20" ht="11.25">
      <c r="A480" s="175" t="s">
        <v>278</v>
      </c>
      <c r="B480" s="175">
        <v>12</v>
      </c>
      <c r="C480" s="176" t="s">
        <v>469</v>
      </c>
      <c r="D480" s="176" t="s">
        <v>331</v>
      </c>
      <c r="E480" s="176" t="s">
        <v>350</v>
      </c>
      <c r="F480" s="176"/>
      <c r="G480" s="176" t="s">
        <v>324</v>
      </c>
      <c r="H480" s="178" t="s">
        <v>325</v>
      </c>
      <c r="I480" s="175" t="s">
        <v>231</v>
      </c>
      <c r="J480" s="179" t="s">
        <v>231</v>
      </c>
      <c r="K480" s="179"/>
      <c r="L480" s="176" t="s">
        <v>371</v>
      </c>
      <c r="M480" s="180">
        <f t="shared" si="28"/>
        <v>1977574.1829559589</v>
      </c>
      <c r="N480" s="181">
        <v>0</v>
      </c>
      <c r="O480" s="181">
        <v>0</v>
      </c>
      <c r="P480" s="181">
        <v>0</v>
      </c>
      <c r="Q480" s="181">
        <v>0</v>
      </c>
      <c r="R480" s="181">
        <v>0</v>
      </c>
      <c r="S480" s="182">
        <f t="shared" si="29"/>
        <v>1977574.1829559589</v>
      </c>
      <c r="T480" s="183"/>
    </row>
    <row r="481" spans="1:20" ht="11.25">
      <c r="A481" s="175" t="s">
        <v>279</v>
      </c>
      <c r="B481" s="175">
        <v>13</v>
      </c>
      <c r="C481" s="176" t="s">
        <v>469</v>
      </c>
      <c r="D481" s="176" t="s">
        <v>331</v>
      </c>
      <c r="E481" s="176" t="s">
        <v>350</v>
      </c>
      <c r="F481" s="176"/>
      <c r="G481" s="176" t="s">
        <v>324</v>
      </c>
      <c r="H481" s="178" t="s">
        <v>325</v>
      </c>
      <c r="I481" s="175" t="s">
        <v>231</v>
      </c>
      <c r="J481" s="179" t="s">
        <v>231</v>
      </c>
      <c r="K481" s="179"/>
      <c r="L481" s="176" t="s">
        <v>371</v>
      </c>
      <c r="M481" s="180">
        <f t="shared" si="28"/>
        <v>2056677.1502741973</v>
      </c>
      <c r="N481" s="181">
        <v>0</v>
      </c>
      <c r="O481" s="181">
        <v>0</v>
      </c>
      <c r="P481" s="181">
        <v>0</v>
      </c>
      <c r="Q481" s="181">
        <v>0</v>
      </c>
      <c r="R481" s="181">
        <v>0</v>
      </c>
      <c r="S481" s="182">
        <f t="shared" si="29"/>
        <v>2056677.1502741973</v>
      </c>
      <c r="T481" s="183"/>
    </row>
    <row r="482" spans="1:20" ht="11.25">
      <c r="A482" s="175" t="s">
        <v>280</v>
      </c>
      <c r="B482" s="175">
        <v>14</v>
      </c>
      <c r="C482" s="176" t="s">
        <v>469</v>
      </c>
      <c r="D482" s="176" t="s">
        <v>331</v>
      </c>
      <c r="E482" s="176" t="s">
        <v>350</v>
      </c>
      <c r="F482" s="176"/>
      <c r="G482" s="176" t="s">
        <v>324</v>
      </c>
      <c r="H482" s="178" t="s">
        <v>325</v>
      </c>
      <c r="I482" s="175" t="s">
        <v>231</v>
      </c>
      <c r="J482" s="179" t="s">
        <v>231</v>
      </c>
      <c r="K482" s="179"/>
      <c r="L482" s="176" t="s">
        <v>371</v>
      </c>
      <c r="M482" s="180">
        <f t="shared" si="28"/>
        <v>2138944.2362851654</v>
      </c>
      <c r="N482" s="181">
        <v>0</v>
      </c>
      <c r="O482" s="181">
        <v>0</v>
      </c>
      <c r="P482" s="181">
        <v>0</v>
      </c>
      <c r="Q482" s="181">
        <v>0</v>
      </c>
      <c r="R482" s="181">
        <v>0</v>
      </c>
      <c r="S482" s="182">
        <f t="shared" si="29"/>
        <v>2138944.2362851654</v>
      </c>
      <c r="T482" s="183"/>
    </row>
    <row r="483" spans="1:20" ht="11.25">
      <c r="A483" s="175" t="s">
        <v>281</v>
      </c>
      <c r="B483" s="175">
        <v>15</v>
      </c>
      <c r="C483" s="176" t="s">
        <v>469</v>
      </c>
      <c r="D483" s="176" t="s">
        <v>331</v>
      </c>
      <c r="E483" s="176" t="s">
        <v>350</v>
      </c>
      <c r="F483" s="176"/>
      <c r="G483" s="176" t="s">
        <v>324</v>
      </c>
      <c r="H483" s="178" t="s">
        <v>325</v>
      </c>
      <c r="I483" s="175" t="s">
        <v>231</v>
      </c>
      <c r="J483" s="179" t="s">
        <v>231</v>
      </c>
      <c r="K483" s="179"/>
      <c r="L483" s="176" t="s">
        <v>371</v>
      </c>
      <c r="M483" s="180">
        <f t="shared" si="28"/>
        <v>2224502.005736572</v>
      </c>
      <c r="N483" s="181">
        <v>0</v>
      </c>
      <c r="O483" s="181">
        <v>0</v>
      </c>
      <c r="P483" s="181">
        <v>0</v>
      </c>
      <c r="Q483" s="181">
        <v>0</v>
      </c>
      <c r="R483" s="181">
        <v>0</v>
      </c>
      <c r="S483" s="182">
        <f t="shared" si="29"/>
        <v>2224502.005736572</v>
      </c>
      <c r="T483" s="183"/>
    </row>
    <row r="484" spans="1:20" ht="11.25">
      <c r="A484" s="175" t="s">
        <v>282</v>
      </c>
      <c r="B484" s="175">
        <v>16</v>
      </c>
      <c r="C484" s="176" t="s">
        <v>469</v>
      </c>
      <c r="D484" s="176" t="s">
        <v>331</v>
      </c>
      <c r="E484" s="176" t="s">
        <v>350</v>
      </c>
      <c r="F484" s="176"/>
      <c r="G484" s="176" t="s">
        <v>324</v>
      </c>
      <c r="H484" s="178" t="s">
        <v>325</v>
      </c>
      <c r="I484" s="175" t="s">
        <v>231</v>
      </c>
      <c r="J484" s="179" t="s">
        <v>231</v>
      </c>
      <c r="K484" s="179"/>
      <c r="L484" s="176" t="s">
        <v>371</v>
      </c>
      <c r="M484" s="180">
        <f t="shared" si="28"/>
        <v>2313482.0859660353</v>
      </c>
      <c r="N484" s="181">
        <v>0</v>
      </c>
      <c r="O484" s="181">
        <v>0</v>
      </c>
      <c r="P484" s="181">
        <v>0</v>
      </c>
      <c r="Q484" s="181">
        <v>0</v>
      </c>
      <c r="R484" s="181">
        <v>0</v>
      </c>
      <c r="S484" s="182">
        <f t="shared" si="29"/>
        <v>2313482.0859660353</v>
      </c>
      <c r="T484" s="183"/>
    </row>
    <row r="485" spans="1:20" ht="11.25">
      <c r="A485" s="175" t="s">
        <v>283</v>
      </c>
      <c r="B485" s="175">
        <v>17</v>
      </c>
      <c r="C485" s="176" t="s">
        <v>469</v>
      </c>
      <c r="D485" s="176" t="s">
        <v>331</v>
      </c>
      <c r="E485" s="176" t="s">
        <v>350</v>
      </c>
      <c r="F485" s="176"/>
      <c r="G485" s="176" t="s">
        <v>324</v>
      </c>
      <c r="H485" s="178" t="s">
        <v>325</v>
      </c>
      <c r="I485" s="175" t="s">
        <v>231</v>
      </c>
      <c r="J485" s="179" t="s">
        <v>231</v>
      </c>
      <c r="K485" s="179"/>
      <c r="L485" s="176" t="s">
        <v>371</v>
      </c>
      <c r="M485" s="180">
        <f t="shared" si="28"/>
        <v>2406021.369404677</v>
      </c>
      <c r="N485" s="181">
        <v>0</v>
      </c>
      <c r="O485" s="181">
        <v>0</v>
      </c>
      <c r="P485" s="181">
        <v>0</v>
      </c>
      <c r="Q485" s="181">
        <v>0</v>
      </c>
      <c r="R485" s="181">
        <v>0</v>
      </c>
      <c r="S485" s="182">
        <f t="shared" si="29"/>
        <v>2406021.369404677</v>
      </c>
      <c r="T485" s="183"/>
    </row>
    <row r="486" spans="1:20" ht="11.25">
      <c r="A486" s="175" t="s">
        <v>284</v>
      </c>
      <c r="B486" s="175">
        <v>18</v>
      </c>
      <c r="C486" s="176" t="s">
        <v>469</v>
      </c>
      <c r="D486" s="176" t="s">
        <v>331</v>
      </c>
      <c r="E486" s="176" t="s">
        <v>350</v>
      </c>
      <c r="F486" s="176"/>
      <c r="G486" s="176" t="s">
        <v>324</v>
      </c>
      <c r="H486" s="178" t="s">
        <v>325</v>
      </c>
      <c r="I486" s="175" t="s">
        <v>231</v>
      </c>
      <c r="J486" s="179" t="s">
        <v>231</v>
      </c>
      <c r="K486" s="179"/>
      <c r="L486" s="176" t="s">
        <v>371</v>
      </c>
      <c r="M486" s="180">
        <f t="shared" si="28"/>
        <v>2502262.224180864</v>
      </c>
      <c r="N486" s="181">
        <v>0</v>
      </c>
      <c r="O486" s="181">
        <v>0</v>
      </c>
      <c r="P486" s="181">
        <v>0</v>
      </c>
      <c r="Q486" s="181">
        <v>0</v>
      </c>
      <c r="R486" s="181">
        <v>0</v>
      </c>
      <c r="S486" s="182">
        <f t="shared" si="29"/>
        <v>2502262.224180864</v>
      </c>
      <c r="T486" s="183"/>
    </row>
    <row r="487" spans="1:20" ht="11.25">
      <c r="A487" s="175" t="s">
        <v>285</v>
      </c>
      <c r="B487" s="175">
        <v>19</v>
      </c>
      <c r="C487" s="176" t="s">
        <v>469</v>
      </c>
      <c r="D487" s="176" t="s">
        <v>331</v>
      </c>
      <c r="E487" s="176" t="s">
        <v>350</v>
      </c>
      <c r="F487" s="176"/>
      <c r="G487" s="176" t="s">
        <v>324</v>
      </c>
      <c r="H487" s="178" t="s">
        <v>325</v>
      </c>
      <c r="I487" s="175" t="s">
        <v>231</v>
      </c>
      <c r="J487" s="179" t="s">
        <v>231</v>
      </c>
      <c r="K487" s="179"/>
      <c r="L487" s="176" t="s">
        <v>371</v>
      </c>
      <c r="M487" s="180">
        <f t="shared" si="28"/>
        <v>2602352.713148099</v>
      </c>
      <c r="N487" s="181">
        <v>0</v>
      </c>
      <c r="O487" s="181">
        <v>0</v>
      </c>
      <c r="P487" s="181">
        <v>0</v>
      </c>
      <c r="Q487" s="181">
        <v>0</v>
      </c>
      <c r="R487" s="181">
        <v>0</v>
      </c>
      <c r="S487" s="182">
        <f t="shared" si="29"/>
        <v>2602352.713148099</v>
      </c>
      <c r="T487" s="183"/>
    </row>
    <row r="488" spans="1:20" ht="11.25">
      <c r="A488" s="175" t="s">
        <v>303</v>
      </c>
      <c r="B488" s="175">
        <v>20</v>
      </c>
      <c r="C488" s="176" t="s">
        <v>469</v>
      </c>
      <c r="D488" s="176" t="s">
        <v>331</v>
      </c>
      <c r="E488" s="176" t="s">
        <v>350</v>
      </c>
      <c r="F488" s="176"/>
      <c r="G488" s="176" t="s">
        <v>324</v>
      </c>
      <c r="H488" s="178" t="s">
        <v>325</v>
      </c>
      <c r="I488" s="175" t="s">
        <v>231</v>
      </c>
      <c r="J488" s="179" t="s">
        <v>231</v>
      </c>
      <c r="K488" s="179"/>
      <c r="L488" s="176" t="s">
        <v>371</v>
      </c>
      <c r="M488" s="180">
        <f t="shared" si="28"/>
        <v>2706446.821674023</v>
      </c>
      <c r="N488" s="181">
        <v>0</v>
      </c>
      <c r="O488" s="181">
        <v>0</v>
      </c>
      <c r="P488" s="181">
        <v>0</v>
      </c>
      <c r="Q488" s="181">
        <v>0</v>
      </c>
      <c r="R488" s="181">
        <v>0</v>
      </c>
      <c r="S488" s="182">
        <f t="shared" si="29"/>
        <v>2706446.821674023</v>
      </c>
      <c r="T488" s="183"/>
    </row>
    <row r="489" spans="1:20" ht="11.25">
      <c r="A489" s="175" t="s">
        <v>265</v>
      </c>
      <c r="B489" s="175">
        <v>0</v>
      </c>
      <c r="C489" s="176" t="s">
        <v>469</v>
      </c>
      <c r="D489" s="176" t="s">
        <v>328</v>
      </c>
      <c r="E489" s="176" t="s">
        <v>329</v>
      </c>
      <c r="F489" s="176"/>
      <c r="G489" s="176" t="s">
        <v>324</v>
      </c>
      <c r="H489" s="178" t="s">
        <v>325</v>
      </c>
      <c r="I489" s="175" t="s">
        <v>231</v>
      </c>
      <c r="J489" s="179" t="s">
        <v>326</v>
      </c>
      <c r="K489" s="179"/>
      <c r="L489" s="176" t="s">
        <v>372</v>
      </c>
      <c r="M489" s="180">
        <v>100000</v>
      </c>
      <c r="N489" s="181">
        <v>0</v>
      </c>
      <c r="O489" s="181">
        <v>0</v>
      </c>
      <c r="P489" s="181">
        <v>0</v>
      </c>
      <c r="Q489" s="181">
        <v>0</v>
      </c>
      <c r="R489" s="181">
        <v>0</v>
      </c>
      <c r="S489" s="182">
        <f t="shared" si="29"/>
        <v>100000</v>
      </c>
      <c r="T489" s="183"/>
    </row>
    <row r="490" spans="1:20" ht="11.25">
      <c r="A490" s="175" t="s">
        <v>267</v>
      </c>
      <c r="B490" s="175">
        <v>1</v>
      </c>
      <c r="C490" s="176" t="s">
        <v>469</v>
      </c>
      <c r="D490" s="176" t="s">
        <v>328</v>
      </c>
      <c r="E490" s="176" t="s">
        <v>329</v>
      </c>
      <c r="F490" s="176"/>
      <c r="G490" s="176" t="s">
        <v>324</v>
      </c>
      <c r="H490" s="178" t="s">
        <v>325</v>
      </c>
      <c r="I490" s="175" t="s">
        <v>231</v>
      </c>
      <c r="J490" s="179" t="s">
        <v>352</v>
      </c>
      <c r="K490" s="179"/>
      <c r="L490" s="176" t="s">
        <v>372</v>
      </c>
      <c r="M490" s="180">
        <f>IF(J490="Y",M489*(1+$F$4),IF(J490="I",M489*(1+$E$4),M489))</f>
        <v>102499.99999999999</v>
      </c>
      <c r="N490" s="181">
        <v>0</v>
      </c>
      <c r="O490" s="181">
        <v>0</v>
      </c>
      <c r="P490" s="181">
        <v>0</v>
      </c>
      <c r="Q490" s="181">
        <v>0</v>
      </c>
      <c r="R490" s="181">
        <v>0</v>
      </c>
      <c r="S490" s="182">
        <f t="shared" si="29"/>
        <v>102499.99999999999</v>
      </c>
      <c r="T490" s="183"/>
    </row>
    <row r="491" spans="1:20" ht="11.25">
      <c r="A491" s="175" t="s">
        <v>268</v>
      </c>
      <c r="B491" s="175">
        <v>2</v>
      </c>
      <c r="C491" s="176" t="s">
        <v>469</v>
      </c>
      <c r="D491" s="176" t="s">
        <v>328</v>
      </c>
      <c r="E491" s="176" t="s">
        <v>329</v>
      </c>
      <c r="F491" s="176"/>
      <c r="G491" s="176" t="s">
        <v>324</v>
      </c>
      <c r="H491" s="178" t="s">
        <v>325</v>
      </c>
      <c r="I491" s="175" t="s">
        <v>231</v>
      </c>
      <c r="J491" s="179" t="s">
        <v>352</v>
      </c>
      <c r="K491" s="179"/>
      <c r="L491" s="176" t="s">
        <v>372</v>
      </c>
      <c r="M491" s="180">
        <f aca="true" t="shared" si="30" ref="M491:M509">IF(J491="Y",M490*(1+$C$4),IF(J491="I",M490*(1+$E$4),M490))</f>
        <v>105062.49999999997</v>
      </c>
      <c r="N491" s="181">
        <v>0</v>
      </c>
      <c r="O491" s="181">
        <v>0</v>
      </c>
      <c r="P491" s="181">
        <v>0</v>
      </c>
      <c r="Q491" s="181">
        <v>0</v>
      </c>
      <c r="R491" s="181">
        <v>0</v>
      </c>
      <c r="S491" s="182">
        <f t="shared" si="29"/>
        <v>105062.49999999997</v>
      </c>
      <c r="T491" s="183"/>
    </row>
    <row r="492" spans="1:20" ht="11.25">
      <c r="A492" s="175" t="s">
        <v>269</v>
      </c>
      <c r="B492" s="175">
        <v>3</v>
      </c>
      <c r="C492" s="176" t="s">
        <v>469</v>
      </c>
      <c r="D492" s="176" t="s">
        <v>328</v>
      </c>
      <c r="E492" s="176" t="s">
        <v>329</v>
      </c>
      <c r="F492" s="176"/>
      <c r="G492" s="176" t="s">
        <v>324</v>
      </c>
      <c r="H492" s="178" t="s">
        <v>325</v>
      </c>
      <c r="I492" s="175" t="s">
        <v>231</v>
      </c>
      <c r="J492" s="179" t="s">
        <v>352</v>
      </c>
      <c r="K492" s="179"/>
      <c r="L492" s="176" t="s">
        <v>372</v>
      </c>
      <c r="M492" s="180">
        <f t="shared" si="30"/>
        <v>107689.06249999996</v>
      </c>
      <c r="N492" s="181">
        <v>0</v>
      </c>
      <c r="O492" s="181">
        <v>0</v>
      </c>
      <c r="P492" s="181">
        <v>0</v>
      </c>
      <c r="Q492" s="181">
        <v>0</v>
      </c>
      <c r="R492" s="181">
        <v>0</v>
      </c>
      <c r="S492" s="182">
        <f t="shared" si="29"/>
        <v>107689.06249999996</v>
      </c>
      <c r="T492" s="183"/>
    </row>
    <row r="493" spans="1:20" ht="11.25">
      <c r="A493" s="175" t="s">
        <v>270</v>
      </c>
      <c r="B493" s="175">
        <v>4</v>
      </c>
      <c r="C493" s="176" t="s">
        <v>469</v>
      </c>
      <c r="D493" s="176" t="s">
        <v>328</v>
      </c>
      <c r="E493" s="176" t="s">
        <v>329</v>
      </c>
      <c r="F493" s="176"/>
      <c r="G493" s="176" t="s">
        <v>324</v>
      </c>
      <c r="H493" s="178" t="s">
        <v>325</v>
      </c>
      <c r="I493" s="175" t="s">
        <v>231</v>
      </c>
      <c r="J493" s="179" t="s">
        <v>352</v>
      </c>
      <c r="K493" s="179"/>
      <c r="L493" s="176" t="s">
        <v>372</v>
      </c>
      <c r="M493" s="180">
        <f t="shared" si="30"/>
        <v>110381.28906249994</v>
      </c>
      <c r="N493" s="181">
        <v>0</v>
      </c>
      <c r="O493" s="181">
        <v>0</v>
      </c>
      <c r="P493" s="181">
        <v>0</v>
      </c>
      <c r="Q493" s="181">
        <v>0</v>
      </c>
      <c r="R493" s="181">
        <v>0</v>
      </c>
      <c r="S493" s="182">
        <f t="shared" si="29"/>
        <v>110381.28906249994</v>
      </c>
      <c r="T493" s="183"/>
    </row>
    <row r="494" spans="1:20" ht="11.25">
      <c r="A494" s="175" t="s">
        <v>271</v>
      </c>
      <c r="B494" s="175">
        <v>5</v>
      </c>
      <c r="C494" s="176" t="s">
        <v>469</v>
      </c>
      <c r="D494" s="176" t="s">
        <v>328</v>
      </c>
      <c r="E494" s="176" t="s">
        <v>329</v>
      </c>
      <c r="F494" s="176"/>
      <c r="G494" s="176" t="s">
        <v>324</v>
      </c>
      <c r="H494" s="178" t="s">
        <v>325</v>
      </c>
      <c r="I494" s="175" t="s">
        <v>231</v>
      </c>
      <c r="J494" s="179" t="s">
        <v>352</v>
      </c>
      <c r="K494" s="179"/>
      <c r="L494" s="176" t="s">
        <v>372</v>
      </c>
      <c r="M494" s="180">
        <f t="shared" si="30"/>
        <v>113140.82128906243</v>
      </c>
      <c r="N494" s="181">
        <v>0</v>
      </c>
      <c r="O494" s="181">
        <v>0</v>
      </c>
      <c r="P494" s="181">
        <v>0</v>
      </c>
      <c r="Q494" s="181">
        <v>0</v>
      </c>
      <c r="R494" s="181">
        <v>0</v>
      </c>
      <c r="S494" s="182">
        <f t="shared" si="29"/>
        <v>113140.82128906243</v>
      </c>
      <c r="T494" s="183"/>
    </row>
    <row r="495" spans="1:20" ht="11.25">
      <c r="A495" s="175" t="s">
        <v>272</v>
      </c>
      <c r="B495" s="175">
        <v>6</v>
      </c>
      <c r="C495" s="176" t="s">
        <v>469</v>
      </c>
      <c r="D495" s="176" t="s">
        <v>328</v>
      </c>
      <c r="E495" s="176" t="s">
        <v>329</v>
      </c>
      <c r="F495" s="176"/>
      <c r="G495" s="176" t="s">
        <v>324</v>
      </c>
      <c r="H495" s="178" t="s">
        <v>325</v>
      </c>
      <c r="I495" s="175" t="s">
        <v>231</v>
      </c>
      <c r="J495" s="179" t="s">
        <v>352</v>
      </c>
      <c r="K495" s="179"/>
      <c r="L495" s="176" t="s">
        <v>372</v>
      </c>
      <c r="M495" s="180">
        <f t="shared" si="30"/>
        <v>115969.34182128898</v>
      </c>
      <c r="N495" s="181">
        <v>0</v>
      </c>
      <c r="O495" s="181">
        <v>0</v>
      </c>
      <c r="P495" s="181">
        <v>0</v>
      </c>
      <c r="Q495" s="181">
        <v>0</v>
      </c>
      <c r="R495" s="181">
        <v>0</v>
      </c>
      <c r="S495" s="182">
        <f t="shared" si="29"/>
        <v>115969.34182128898</v>
      </c>
      <c r="T495" s="183"/>
    </row>
    <row r="496" spans="1:20" ht="11.25">
      <c r="A496" s="175" t="s">
        <v>273</v>
      </c>
      <c r="B496" s="175">
        <v>7</v>
      </c>
      <c r="C496" s="176" t="s">
        <v>469</v>
      </c>
      <c r="D496" s="176" t="s">
        <v>328</v>
      </c>
      <c r="E496" s="176" t="s">
        <v>329</v>
      </c>
      <c r="F496" s="176"/>
      <c r="G496" s="176" t="s">
        <v>324</v>
      </c>
      <c r="H496" s="178" t="s">
        <v>325</v>
      </c>
      <c r="I496" s="175" t="s">
        <v>231</v>
      </c>
      <c r="J496" s="179" t="s">
        <v>352</v>
      </c>
      <c r="K496" s="179"/>
      <c r="L496" s="176" t="s">
        <v>372</v>
      </c>
      <c r="M496" s="180">
        <f t="shared" si="30"/>
        <v>118868.5753668212</v>
      </c>
      <c r="N496" s="181">
        <v>0</v>
      </c>
      <c r="O496" s="181">
        <v>0</v>
      </c>
      <c r="P496" s="181">
        <v>0</v>
      </c>
      <c r="Q496" s="181">
        <v>0</v>
      </c>
      <c r="R496" s="181">
        <v>0</v>
      </c>
      <c r="S496" s="182">
        <f t="shared" si="29"/>
        <v>118868.5753668212</v>
      </c>
      <c r="T496" s="183"/>
    </row>
    <row r="497" spans="1:20" ht="11.25">
      <c r="A497" s="175" t="s">
        <v>274</v>
      </c>
      <c r="B497" s="175">
        <v>8</v>
      </c>
      <c r="C497" s="176" t="s">
        <v>469</v>
      </c>
      <c r="D497" s="176" t="s">
        <v>328</v>
      </c>
      <c r="E497" s="176" t="s">
        <v>329</v>
      </c>
      <c r="F497" s="176"/>
      <c r="G497" s="176" t="s">
        <v>324</v>
      </c>
      <c r="H497" s="178" t="s">
        <v>325</v>
      </c>
      <c r="I497" s="175" t="s">
        <v>231</v>
      </c>
      <c r="J497" s="179" t="s">
        <v>352</v>
      </c>
      <c r="K497" s="179"/>
      <c r="L497" s="176" t="s">
        <v>372</v>
      </c>
      <c r="M497" s="180">
        <f t="shared" si="30"/>
        <v>121840.28975099172</v>
      </c>
      <c r="N497" s="181">
        <v>0</v>
      </c>
      <c r="O497" s="181">
        <v>0</v>
      </c>
      <c r="P497" s="181">
        <v>0</v>
      </c>
      <c r="Q497" s="181">
        <v>0</v>
      </c>
      <c r="R497" s="181">
        <v>0</v>
      </c>
      <c r="S497" s="182">
        <f t="shared" si="29"/>
        <v>121840.28975099172</v>
      </c>
      <c r="T497" s="183"/>
    </row>
    <row r="498" spans="1:20" ht="11.25">
      <c r="A498" s="175" t="s">
        <v>275</v>
      </c>
      <c r="B498" s="175">
        <v>9</v>
      </c>
      <c r="C498" s="176" t="s">
        <v>469</v>
      </c>
      <c r="D498" s="176" t="s">
        <v>328</v>
      </c>
      <c r="E498" s="176" t="s">
        <v>329</v>
      </c>
      <c r="F498" s="176"/>
      <c r="G498" s="176" t="s">
        <v>324</v>
      </c>
      <c r="H498" s="178" t="s">
        <v>325</v>
      </c>
      <c r="I498" s="175" t="s">
        <v>231</v>
      </c>
      <c r="J498" s="179" t="s">
        <v>352</v>
      </c>
      <c r="K498" s="179"/>
      <c r="L498" s="176" t="s">
        <v>372</v>
      </c>
      <c r="M498" s="180">
        <f t="shared" si="30"/>
        <v>124886.29699476651</v>
      </c>
      <c r="N498" s="181">
        <v>0</v>
      </c>
      <c r="O498" s="181">
        <v>0</v>
      </c>
      <c r="P498" s="181">
        <v>0</v>
      </c>
      <c r="Q498" s="181">
        <v>0</v>
      </c>
      <c r="R498" s="181">
        <v>0</v>
      </c>
      <c r="S498" s="182">
        <f t="shared" si="29"/>
        <v>124886.29699476651</v>
      </c>
      <c r="T498" s="183"/>
    </row>
    <row r="499" spans="1:20" ht="11.25">
      <c r="A499" s="175" t="s">
        <v>276</v>
      </c>
      <c r="B499" s="175">
        <v>10</v>
      </c>
      <c r="C499" s="176" t="s">
        <v>469</v>
      </c>
      <c r="D499" s="176" t="s">
        <v>328</v>
      </c>
      <c r="E499" s="176" t="s">
        <v>329</v>
      </c>
      <c r="F499" s="176"/>
      <c r="G499" s="176" t="s">
        <v>324</v>
      </c>
      <c r="H499" s="178" t="s">
        <v>325</v>
      </c>
      <c r="I499" s="175" t="s">
        <v>231</v>
      </c>
      <c r="J499" s="179" t="s">
        <v>352</v>
      </c>
      <c r="K499" s="179"/>
      <c r="L499" s="176" t="s">
        <v>372</v>
      </c>
      <c r="M499" s="180">
        <f t="shared" si="30"/>
        <v>128008.45441963566</v>
      </c>
      <c r="N499" s="181">
        <v>0</v>
      </c>
      <c r="O499" s="181">
        <v>0</v>
      </c>
      <c r="P499" s="181">
        <v>0</v>
      </c>
      <c r="Q499" s="181">
        <v>0</v>
      </c>
      <c r="R499" s="181">
        <v>0</v>
      </c>
      <c r="S499" s="182">
        <f t="shared" si="29"/>
        <v>128008.45441963566</v>
      </c>
      <c r="T499" s="183"/>
    </row>
    <row r="500" spans="1:20" ht="11.25">
      <c r="A500" s="175" t="s">
        <v>277</v>
      </c>
      <c r="B500" s="175">
        <v>11</v>
      </c>
      <c r="C500" s="176" t="s">
        <v>469</v>
      </c>
      <c r="D500" s="176" t="s">
        <v>328</v>
      </c>
      <c r="E500" s="176" t="s">
        <v>329</v>
      </c>
      <c r="F500" s="176"/>
      <c r="G500" s="176" t="s">
        <v>324</v>
      </c>
      <c r="H500" s="178" t="s">
        <v>325</v>
      </c>
      <c r="I500" s="175" t="s">
        <v>231</v>
      </c>
      <c r="J500" s="179" t="s">
        <v>352</v>
      </c>
      <c r="K500" s="179"/>
      <c r="L500" s="176" t="s">
        <v>372</v>
      </c>
      <c r="M500" s="180">
        <f t="shared" si="30"/>
        <v>131208.66578012652</v>
      </c>
      <c r="N500" s="181">
        <v>0</v>
      </c>
      <c r="O500" s="181">
        <v>0</v>
      </c>
      <c r="P500" s="181">
        <v>0</v>
      </c>
      <c r="Q500" s="181">
        <v>0</v>
      </c>
      <c r="R500" s="181">
        <v>0</v>
      </c>
      <c r="S500" s="182">
        <f t="shared" si="29"/>
        <v>131208.66578012652</v>
      </c>
      <c r="T500" s="183"/>
    </row>
    <row r="501" spans="1:20" ht="11.25">
      <c r="A501" s="175" t="s">
        <v>278</v>
      </c>
      <c r="B501" s="175">
        <v>12</v>
      </c>
      <c r="C501" s="176" t="s">
        <v>469</v>
      </c>
      <c r="D501" s="176" t="s">
        <v>328</v>
      </c>
      <c r="E501" s="176" t="s">
        <v>329</v>
      </c>
      <c r="F501" s="176"/>
      <c r="G501" s="176" t="s">
        <v>324</v>
      </c>
      <c r="H501" s="178" t="s">
        <v>325</v>
      </c>
      <c r="I501" s="175" t="s">
        <v>231</v>
      </c>
      <c r="J501" s="179" t="s">
        <v>352</v>
      </c>
      <c r="K501" s="179"/>
      <c r="L501" s="176" t="s">
        <v>372</v>
      </c>
      <c r="M501" s="180">
        <f t="shared" si="30"/>
        <v>134488.88242462967</v>
      </c>
      <c r="N501" s="181">
        <v>0</v>
      </c>
      <c r="O501" s="181">
        <v>0</v>
      </c>
      <c r="P501" s="181">
        <v>0</v>
      </c>
      <c r="Q501" s="181">
        <v>0</v>
      </c>
      <c r="R501" s="181">
        <v>0</v>
      </c>
      <c r="S501" s="182">
        <f t="shared" si="29"/>
        <v>134488.88242462967</v>
      </c>
      <c r="T501" s="183"/>
    </row>
    <row r="502" spans="1:20" ht="11.25">
      <c r="A502" s="175" t="s">
        <v>279</v>
      </c>
      <c r="B502" s="175">
        <v>13</v>
      </c>
      <c r="C502" s="176" t="s">
        <v>469</v>
      </c>
      <c r="D502" s="176" t="s">
        <v>328</v>
      </c>
      <c r="E502" s="176" t="s">
        <v>329</v>
      </c>
      <c r="F502" s="176"/>
      <c r="G502" s="176" t="s">
        <v>324</v>
      </c>
      <c r="H502" s="178" t="s">
        <v>325</v>
      </c>
      <c r="I502" s="175" t="s">
        <v>231</v>
      </c>
      <c r="J502" s="179" t="s">
        <v>352</v>
      </c>
      <c r="K502" s="179"/>
      <c r="L502" s="176" t="s">
        <v>372</v>
      </c>
      <c r="M502" s="180">
        <f t="shared" si="30"/>
        <v>137851.1044852454</v>
      </c>
      <c r="N502" s="181">
        <v>0</v>
      </c>
      <c r="O502" s="181">
        <v>0</v>
      </c>
      <c r="P502" s="181">
        <v>0</v>
      </c>
      <c r="Q502" s="181">
        <v>0</v>
      </c>
      <c r="R502" s="181">
        <v>0</v>
      </c>
      <c r="S502" s="182">
        <f t="shared" si="29"/>
        <v>137851.1044852454</v>
      </c>
      <c r="T502" s="183"/>
    </row>
    <row r="503" spans="1:20" ht="11.25">
      <c r="A503" s="175" t="s">
        <v>280</v>
      </c>
      <c r="B503" s="175">
        <v>14</v>
      </c>
      <c r="C503" s="176" t="s">
        <v>469</v>
      </c>
      <c r="D503" s="176" t="s">
        <v>328</v>
      </c>
      <c r="E503" s="176" t="s">
        <v>329</v>
      </c>
      <c r="F503" s="176"/>
      <c r="G503" s="176" t="s">
        <v>324</v>
      </c>
      <c r="H503" s="178" t="s">
        <v>325</v>
      </c>
      <c r="I503" s="175" t="s">
        <v>231</v>
      </c>
      <c r="J503" s="179" t="s">
        <v>352</v>
      </c>
      <c r="K503" s="179"/>
      <c r="L503" s="176" t="s">
        <v>372</v>
      </c>
      <c r="M503" s="180">
        <f t="shared" si="30"/>
        <v>141297.3820973765</v>
      </c>
      <c r="N503" s="181">
        <v>0</v>
      </c>
      <c r="O503" s="181">
        <v>0</v>
      </c>
      <c r="P503" s="181">
        <v>0</v>
      </c>
      <c r="Q503" s="181">
        <v>0</v>
      </c>
      <c r="R503" s="181">
        <v>0</v>
      </c>
      <c r="S503" s="182">
        <f t="shared" si="29"/>
        <v>141297.3820973765</v>
      </c>
      <c r="T503" s="183"/>
    </row>
    <row r="504" spans="1:20" ht="11.25">
      <c r="A504" s="175" t="s">
        <v>281</v>
      </c>
      <c r="B504" s="175">
        <v>15</v>
      </c>
      <c r="C504" s="176" t="s">
        <v>469</v>
      </c>
      <c r="D504" s="176" t="s">
        <v>328</v>
      </c>
      <c r="E504" s="176" t="s">
        <v>329</v>
      </c>
      <c r="F504" s="176"/>
      <c r="G504" s="176" t="s">
        <v>324</v>
      </c>
      <c r="H504" s="178" t="s">
        <v>325</v>
      </c>
      <c r="I504" s="175" t="s">
        <v>231</v>
      </c>
      <c r="J504" s="179" t="s">
        <v>352</v>
      </c>
      <c r="K504" s="179"/>
      <c r="L504" s="176" t="s">
        <v>372</v>
      </c>
      <c r="M504" s="180">
        <f t="shared" si="30"/>
        <v>144829.8166498109</v>
      </c>
      <c r="N504" s="181">
        <v>0</v>
      </c>
      <c r="O504" s="181">
        <v>0</v>
      </c>
      <c r="P504" s="181">
        <v>0</v>
      </c>
      <c r="Q504" s="181">
        <v>0</v>
      </c>
      <c r="R504" s="181">
        <v>0</v>
      </c>
      <c r="S504" s="182">
        <f t="shared" si="29"/>
        <v>144829.8166498109</v>
      </c>
      <c r="T504" s="183"/>
    </row>
    <row r="505" spans="1:20" ht="11.25">
      <c r="A505" s="175" t="s">
        <v>282</v>
      </c>
      <c r="B505" s="175">
        <v>16</v>
      </c>
      <c r="C505" s="176" t="s">
        <v>469</v>
      </c>
      <c r="D505" s="176" t="s">
        <v>328</v>
      </c>
      <c r="E505" s="176" t="s">
        <v>329</v>
      </c>
      <c r="F505" s="176"/>
      <c r="G505" s="176" t="s">
        <v>324</v>
      </c>
      <c r="H505" s="178" t="s">
        <v>325</v>
      </c>
      <c r="I505" s="175" t="s">
        <v>231</v>
      </c>
      <c r="J505" s="179" t="s">
        <v>352</v>
      </c>
      <c r="K505" s="179"/>
      <c r="L505" s="176" t="s">
        <v>372</v>
      </c>
      <c r="M505" s="180">
        <f t="shared" si="30"/>
        <v>148450.56206605615</v>
      </c>
      <c r="N505" s="181">
        <v>0</v>
      </c>
      <c r="O505" s="181">
        <v>0</v>
      </c>
      <c r="P505" s="181">
        <v>0</v>
      </c>
      <c r="Q505" s="181">
        <v>0</v>
      </c>
      <c r="R505" s="181">
        <v>0</v>
      </c>
      <c r="S505" s="182">
        <f t="shared" si="29"/>
        <v>148450.56206605615</v>
      </c>
      <c r="T505" s="183"/>
    </row>
    <row r="506" spans="1:20" ht="11.25">
      <c r="A506" s="175" t="s">
        <v>283</v>
      </c>
      <c r="B506" s="175">
        <v>17</v>
      </c>
      <c r="C506" s="176" t="s">
        <v>469</v>
      </c>
      <c r="D506" s="176" t="s">
        <v>328</v>
      </c>
      <c r="E506" s="176" t="s">
        <v>329</v>
      </c>
      <c r="F506" s="176"/>
      <c r="G506" s="176" t="s">
        <v>324</v>
      </c>
      <c r="H506" s="178" t="s">
        <v>325</v>
      </c>
      <c r="I506" s="175" t="s">
        <v>231</v>
      </c>
      <c r="J506" s="179" t="s">
        <v>352</v>
      </c>
      <c r="K506" s="179"/>
      <c r="L506" s="176" t="s">
        <v>372</v>
      </c>
      <c r="M506" s="180">
        <f t="shared" si="30"/>
        <v>152161.82611770753</v>
      </c>
      <c r="N506" s="181">
        <v>0</v>
      </c>
      <c r="O506" s="181">
        <v>0</v>
      </c>
      <c r="P506" s="181">
        <v>0</v>
      </c>
      <c r="Q506" s="181">
        <v>0</v>
      </c>
      <c r="R506" s="181">
        <v>0</v>
      </c>
      <c r="S506" s="182">
        <f t="shared" si="29"/>
        <v>152161.82611770753</v>
      </c>
      <c r="T506" s="183"/>
    </row>
    <row r="507" spans="1:20" ht="11.25">
      <c r="A507" s="175" t="s">
        <v>284</v>
      </c>
      <c r="B507" s="175">
        <v>18</v>
      </c>
      <c r="C507" s="176" t="s">
        <v>469</v>
      </c>
      <c r="D507" s="176" t="s">
        <v>328</v>
      </c>
      <c r="E507" s="176" t="s">
        <v>329</v>
      </c>
      <c r="F507" s="176"/>
      <c r="G507" s="176" t="s">
        <v>324</v>
      </c>
      <c r="H507" s="178" t="s">
        <v>325</v>
      </c>
      <c r="I507" s="175" t="s">
        <v>231</v>
      </c>
      <c r="J507" s="179" t="s">
        <v>352</v>
      </c>
      <c r="K507" s="179"/>
      <c r="L507" s="176" t="s">
        <v>372</v>
      </c>
      <c r="M507" s="180">
        <f t="shared" si="30"/>
        <v>155965.8717706502</v>
      </c>
      <c r="N507" s="181">
        <v>0</v>
      </c>
      <c r="O507" s="181">
        <v>0</v>
      </c>
      <c r="P507" s="181">
        <v>0</v>
      </c>
      <c r="Q507" s="181">
        <v>0</v>
      </c>
      <c r="R507" s="181">
        <v>0</v>
      </c>
      <c r="S507" s="182">
        <f t="shared" si="29"/>
        <v>155965.8717706502</v>
      </c>
      <c r="T507" s="183"/>
    </row>
    <row r="508" spans="1:20" ht="11.25">
      <c r="A508" s="175" t="s">
        <v>285</v>
      </c>
      <c r="B508" s="175">
        <v>19</v>
      </c>
      <c r="C508" s="176" t="s">
        <v>469</v>
      </c>
      <c r="D508" s="176" t="s">
        <v>328</v>
      </c>
      <c r="E508" s="176" t="s">
        <v>329</v>
      </c>
      <c r="F508" s="176"/>
      <c r="G508" s="176" t="s">
        <v>324</v>
      </c>
      <c r="H508" s="178" t="s">
        <v>325</v>
      </c>
      <c r="I508" s="175" t="s">
        <v>231</v>
      </c>
      <c r="J508" s="179" t="s">
        <v>352</v>
      </c>
      <c r="K508" s="179"/>
      <c r="L508" s="176" t="s">
        <v>372</v>
      </c>
      <c r="M508" s="180">
        <f t="shared" si="30"/>
        <v>159865.01856491645</v>
      </c>
      <c r="N508" s="181">
        <v>0</v>
      </c>
      <c r="O508" s="181">
        <v>0</v>
      </c>
      <c r="P508" s="181">
        <v>0</v>
      </c>
      <c r="Q508" s="181">
        <v>0</v>
      </c>
      <c r="R508" s="181">
        <v>0</v>
      </c>
      <c r="S508" s="182">
        <f t="shared" si="29"/>
        <v>159865.01856491645</v>
      </c>
      <c r="T508" s="183"/>
    </row>
    <row r="509" spans="1:20" ht="11.25">
      <c r="A509" s="175" t="s">
        <v>303</v>
      </c>
      <c r="B509" s="175">
        <v>20</v>
      </c>
      <c r="C509" s="176" t="s">
        <v>469</v>
      </c>
      <c r="D509" s="176" t="s">
        <v>328</v>
      </c>
      <c r="E509" s="176" t="s">
        <v>329</v>
      </c>
      <c r="F509" s="176"/>
      <c r="G509" s="176" t="s">
        <v>324</v>
      </c>
      <c r="H509" s="178" t="s">
        <v>325</v>
      </c>
      <c r="I509" s="175" t="s">
        <v>231</v>
      </c>
      <c r="J509" s="179" t="s">
        <v>352</v>
      </c>
      <c r="K509" s="179"/>
      <c r="L509" s="176" t="s">
        <v>372</v>
      </c>
      <c r="M509" s="180">
        <f t="shared" si="30"/>
        <v>163861.64402903934</v>
      </c>
      <c r="N509" s="181">
        <v>0</v>
      </c>
      <c r="O509" s="181">
        <v>0</v>
      </c>
      <c r="P509" s="181">
        <v>0</v>
      </c>
      <c r="Q509" s="181">
        <v>0</v>
      </c>
      <c r="R509" s="181">
        <v>0</v>
      </c>
      <c r="S509" s="182">
        <f t="shared" si="29"/>
        <v>163861.64402903934</v>
      </c>
      <c r="T509" s="183"/>
    </row>
    <row r="510" spans="1:20" ht="11.25">
      <c r="A510" s="175" t="s">
        <v>265</v>
      </c>
      <c r="B510" s="175">
        <v>0</v>
      </c>
      <c r="C510" s="176" t="s">
        <v>469</v>
      </c>
      <c r="D510" s="176" t="s">
        <v>331</v>
      </c>
      <c r="E510" s="176" t="s">
        <v>350</v>
      </c>
      <c r="F510" s="176"/>
      <c r="G510" s="176" t="s">
        <v>360</v>
      </c>
      <c r="H510" s="178" t="s">
        <v>325</v>
      </c>
      <c r="I510" s="175" t="s">
        <v>231</v>
      </c>
      <c r="J510" s="179" t="s">
        <v>326</v>
      </c>
      <c r="K510" s="179"/>
      <c r="L510" s="176" t="s">
        <v>373</v>
      </c>
      <c r="M510" s="180">
        <v>690000</v>
      </c>
      <c r="N510" s="181">
        <v>0</v>
      </c>
      <c r="O510" s="181">
        <v>0</v>
      </c>
      <c r="P510" s="181">
        <v>0</v>
      </c>
      <c r="Q510" s="181">
        <v>0</v>
      </c>
      <c r="R510" s="181">
        <v>0</v>
      </c>
      <c r="S510" s="182">
        <f t="shared" si="29"/>
        <v>690000</v>
      </c>
      <c r="T510" s="183"/>
    </row>
    <row r="511" spans="1:20" ht="11.25">
      <c r="A511" s="175" t="s">
        <v>267</v>
      </c>
      <c r="B511" s="175">
        <v>1</v>
      </c>
      <c r="C511" s="176" t="s">
        <v>469</v>
      </c>
      <c r="D511" s="176" t="s">
        <v>331</v>
      </c>
      <c r="E511" s="176" t="s">
        <v>350</v>
      </c>
      <c r="F511" s="176"/>
      <c r="G511" s="176" t="s">
        <v>360</v>
      </c>
      <c r="H511" s="178" t="s">
        <v>325</v>
      </c>
      <c r="I511" s="175" t="s">
        <v>231</v>
      </c>
      <c r="J511" s="179" t="s">
        <v>231</v>
      </c>
      <c r="K511" s="179"/>
      <c r="L511" s="176" t="s">
        <v>373</v>
      </c>
      <c r="M511" s="180">
        <f>IF(J511="Y",M510*(1+$F$4),IF(J511="I",M510*(1+$E$4),M510))+174000+289000</f>
        <v>1180600</v>
      </c>
      <c r="N511" s="181">
        <v>0</v>
      </c>
      <c r="O511" s="181">
        <v>0</v>
      </c>
      <c r="P511" s="181">
        <v>0</v>
      </c>
      <c r="Q511" s="181">
        <v>0</v>
      </c>
      <c r="R511" s="181">
        <v>0</v>
      </c>
      <c r="S511" s="182">
        <f t="shared" si="29"/>
        <v>1180600</v>
      </c>
      <c r="T511" s="183"/>
    </row>
    <row r="512" spans="1:20" ht="11.25">
      <c r="A512" s="175" t="s">
        <v>268</v>
      </c>
      <c r="B512" s="175">
        <v>2</v>
      </c>
      <c r="C512" s="176" t="s">
        <v>469</v>
      </c>
      <c r="D512" s="176" t="s">
        <v>331</v>
      </c>
      <c r="E512" s="176" t="s">
        <v>350</v>
      </c>
      <c r="F512" s="176"/>
      <c r="G512" s="176" t="s">
        <v>360</v>
      </c>
      <c r="H512" s="178" t="s">
        <v>325</v>
      </c>
      <c r="I512" s="175" t="s">
        <v>231</v>
      </c>
      <c r="J512" s="179" t="s">
        <v>231</v>
      </c>
      <c r="K512" s="179"/>
      <c r="L512" s="176" t="s">
        <v>373</v>
      </c>
      <c r="M512" s="180">
        <f aca="true" t="shared" si="31" ref="M512:M530">IF(J512="Y",M511*(1+$C$4),IF(J512="I",M511*(1+$E$4),M511))</f>
        <v>1227824</v>
      </c>
      <c r="N512" s="181">
        <v>0</v>
      </c>
      <c r="O512" s="181">
        <v>0</v>
      </c>
      <c r="P512" s="181">
        <v>0</v>
      </c>
      <c r="Q512" s="181">
        <v>0</v>
      </c>
      <c r="R512" s="181">
        <v>0</v>
      </c>
      <c r="S512" s="182">
        <f t="shared" si="29"/>
        <v>1227824</v>
      </c>
      <c r="T512" s="183"/>
    </row>
    <row r="513" spans="1:20" ht="11.25">
      <c r="A513" s="175" t="s">
        <v>269</v>
      </c>
      <c r="B513" s="175">
        <v>3</v>
      </c>
      <c r="C513" s="176" t="s">
        <v>469</v>
      </c>
      <c r="D513" s="176" t="s">
        <v>331</v>
      </c>
      <c r="E513" s="176" t="s">
        <v>350</v>
      </c>
      <c r="F513" s="176"/>
      <c r="G513" s="176" t="s">
        <v>360</v>
      </c>
      <c r="H513" s="178" t="s">
        <v>325</v>
      </c>
      <c r="I513" s="175" t="s">
        <v>231</v>
      </c>
      <c r="J513" s="179" t="s">
        <v>231</v>
      </c>
      <c r="K513" s="179"/>
      <c r="L513" s="176" t="s">
        <v>373</v>
      </c>
      <c r="M513" s="180">
        <f t="shared" si="31"/>
        <v>1276936.96</v>
      </c>
      <c r="N513" s="181">
        <v>0</v>
      </c>
      <c r="O513" s="181">
        <v>0</v>
      </c>
      <c r="P513" s="181">
        <v>0</v>
      </c>
      <c r="Q513" s="181">
        <v>0</v>
      </c>
      <c r="R513" s="181">
        <v>0</v>
      </c>
      <c r="S513" s="182">
        <f t="shared" si="29"/>
        <v>1276936.96</v>
      </c>
      <c r="T513" s="183"/>
    </row>
    <row r="514" spans="1:20" ht="11.25">
      <c r="A514" s="175" t="s">
        <v>270</v>
      </c>
      <c r="B514" s="175">
        <v>4</v>
      </c>
      <c r="C514" s="176" t="s">
        <v>469</v>
      </c>
      <c r="D514" s="176" t="s">
        <v>331</v>
      </c>
      <c r="E514" s="176" t="s">
        <v>350</v>
      </c>
      <c r="F514" s="176"/>
      <c r="G514" s="176" t="s">
        <v>360</v>
      </c>
      <c r="H514" s="178" t="s">
        <v>325</v>
      </c>
      <c r="I514" s="175" t="s">
        <v>231</v>
      </c>
      <c r="J514" s="179" t="s">
        <v>231</v>
      </c>
      <c r="K514" s="179"/>
      <c r="L514" s="176" t="s">
        <v>373</v>
      </c>
      <c r="M514" s="180">
        <f t="shared" si="31"/>
        <v>1328014.4384</v>
      </c>
      <c r="N514" s="181">
        <v>0</v>
      </c>
      <c r="O514" s="181">
        <v>0</v>
      </c>
      <c r="P514" s="181">
        <v>0</v>
      </c>
      <c r="Q514" s="181">
        <v>0</v>
      </c>
      <c r="R514" s="181">
        <v>0</v>
      </c>
      <c r="S514" s="182">
        <f t="shared" si="29"/>
        <v>1328014.4384</v>
      </c>
      <c r="T514" s="183"/>
    </row>
    <row r="515" spans="1:20" ht="11.25">
      <c r="A515" s="175" t="s">
        <v>271</v>
      </c>
      <c r="B515" s="175">
        <v>5</v>
      </c>
      <c r="C515" s="176" t="s">
        <v>469</v>
      </c>
      <c r="D515" s="176" t="s">
        <v>331</v>
      </c>
      <c r="E515" s="176" t="s">
        <v>350</v>
      </c>
      <c r="F515" s="176"/>
      <c r="G515" s="176" t="s">
        <v>360</v>
      </c>
      <c r="H515" s="178" t="s">
        <v>325</v>
      </c>
      <c r="I515" s="175" t="s">
        <v>231</v>
      </c>
      <c r="J515" s="179" t="s">
        <v>231</v>
      </c>
      <c r="K515" s="179"/>
      <c r="L515" s="176" t="s">
        <v>373</v>
      </c>
      <c r="M515" s="180">
        <f t="shared" si="31"/>
        <v>1381135.015936</v>
      </c>
      <c r="N515" s="181">
        <v>0</v>
      </c>
      <c r="O515" s="181">
        <v>0</v>
      </c>
      <c r="P515" s="181">
        <v>0</v>
      </c>
      <c r="Q515" s="181">
        <v>0</v>
      </c>
      <c r="R515" s="181">
        <v>0</v>
      </c>
      <c r="S515" s="182">
        <f t="shared" si="29"/>
        <v>1381135.015936</v>
      </c>
      <c r="T515" s="183"/>
    </row>
    <row r="516" spans="1:20" ht="11.25">
      <c r="A516" s="175" t="s">
        <v>272</v>
      </c>
      <c r="B516" s="175">
        <v>6</v>
      </c>
      <c r="C516" s="176" t="s">
        <v>469</v>
      </c>
      <c r="D516" s="176" t="s">
        <v>331</v>
      </c>
      <c r="E516" s="176" t="s">
        <v>350</v>
      </c>
      <c r="F516" s="176"/>
      <c r="G516" s="176" t="s">
        <v>360</v>
      </c>
      <c r="H516" s="178" t="s">
        <v>325</v>
      </c>
      <c r="I516" s="175" t="s">
        <v>231</v>
      </c>
      <c r="J516" s="179" t="s">
        <v>231</v>
      </c>
      <c r="K516" s="179"/>
      <c r="L516" s="176" t="s">
        <v>373</v>
      </c>
      <c r="M516" s="180">
        <f t="shared" si="31"/>
        <v>1436380.4165734402</v>
      </c>
      <c r="N516" s="181">
        <v>0</v>
      </c>
      <c r="O516" s="181">
        <v>0</v>
      </c>
      <c r="P516" s="181">
        <v>0</v>
      </c>
      <c r="Q516" s="181">
        <v>0</v>
      </c>
      <c r="R516" s="181">
        <v>0</v>
      </c>
      <c r="S516" s="182">
        <f t="shared" si="29"/>
        <v>1436380.4165734402</v>
      </c>
      <c r="T516" s="183"/>
    </row>
    <row r="517" spans="1:20" ht="11.25">
      <c r="A517" s="175" t="s">
        <v>273</v>
      </c>
      <c r="B517" s="175">
        <v>7</v>
      </c>
      <c r="C517" s="176" t="s">
        <v>469</v>
      </c>
      <c r="D517" s="176" t="s">
        <v>331</v>
      </c>
      <c r="E517" s="176" t="s">
        <v>350</v>
      </c>
      <c r="F517" s="176"/>
      <c r="G517" s="176" t="s">
        <v>360</v>
      </c>
      <c r="H517" s="178" t="s">
        <v>325</v>
      </c>
      <c r="I517" s="175" t="s">
        <v>231</v>
      </c>
      <c r="J517" s="179" t="s">
        <v>231</v>
      </c>
      <c r="K517" s="179"/>
      <c r="L517" s="176" t="s">
        <v>373</v>
      </c>
      <c r="M517" s="180">
        <f t="shared" si="31"/>
        <v>1493835.6332363777</v>
      </c>
      <c r="N517" s="181">
        <v>0</v>
      </c>
      <c r="O517" s="181">
        <v>0</v>
      </c>
      <c r="P517" s="181">
        <v>0</v>
      </c>
      <c r="Q517" s="181">
        <v>0</v>
      </c>
      <c r="R517" s="181">
        <v>0</v>
      </c>
      <c r="S517" s="182">
        <f t="shared" si="29"/>
        <v>1493835.6332363777</v>
      </c>
      <c r="T517" s="183"/>
    </row>
    <row r="518" spans="1:20" ht="11.25">
      <c r="A518" s="175" t="s">
        <v>274</v>
      </c>
      <c r="B518" s="175">
        <v>8</v>
      </c>
      <c r="C518" s="176" t="s">
        <v>469</v>
      </c>
      <c r="D518" s="176" t="s">
        <v>331</v>
      </c>
      <c r="E518" s="176" t="s">
        <v>350</v>
      </c>
      <c r="F518" s="176"/>
      <c r="G518" s="176" t="s">
        <v>360</v>
      </c>
      <c r="H518" s="178" t="s">
        <v>325</v>
      </c>
      <c r="I518" s="175" t="s">
        <v>231</v>
      </c>
      <c r="J518" s="179" t="s">
        <v>231</v>
      </c>
      <c r="K518" s="179"/>
      <c r="L518" s="176" t="s">
        <v>373</v>
      </c>
      <c r="M518" s="180">
        <f t="shared" si="31"/>
        <v>1553589.058565833</v>
      </c>
      <c r="N518" s="181">
        <v>0</v>
      </c>
      <c r="O518" s="181">
        <v>0</v>
      </c>
      <c r="P518" s="181">
        <v>0</v>
      </c>
      <c r="Q518" s="181">
        <v>0</v>
      </c>
      <c r="R518" s="181">
        <v>0</v>
      </c>
      <c r="S518" s="182">
        <f t="shared" si="29"/>
        <v>1553589.058565833</v>
      </c>
      <c r="T518" s="183"/>
    </row>
    <row r="519" spans="1:20" ht="11.25">
      <c r="A519" s="175" t="s">
        <v>275</v>
      </c>
      <c r="B519" s="175">
        <v>9</v>
      </c>
      <c r="C519" s="176" t="s">
        <v>469</v>
      </c>
      <c r="D519" s="176" t="s">
        <v>331</v>
      </c>
      <c r="E519" s="176" t="s">
        <v>350</v>
      </c>
      <c r="F519" s="176"/>
      <c r="G519" s="176" t="s">
        <v>360</v>
      </c>
      <c r="H519" s="178" t="s">
        <v>325</v>
      </c>
      <c r="I519" s="175" t="s">
        <v>231</v>
      </c>
      <c r="J519" s="179" t="s">
        <v>231</v>
      </c>
      <c r="K519" s="179"/>
      <c r="L519" s="176" t="s">
        <v>373</v>
      </c>
      <c r="M519" s="180">
        <f t="shared" si="31"/>
        <v>1615732.6209084662</v>
      </c>
      <c r="N519" s="181">
        <v>0</v>
      </c>
      <c r="O519" s="181">
        <v>0</v>
      </c>
      <c r="P519" s="181">
        <v>0</v>
      </c>
      <c r="Q519" s="181">
        <v>0</v>
      </c>
      <c r="R519" s="181">
        <v>0</v>
      </c>
      <c r="S519" s="182">
        <f t="shared" si="29"/>
        <v>1615732.6209084662</v>
      </c>
      <c r="T519" s="183"/>
    </row>
    <row r="520" spans="1:20" ht="11.25">
      <c r="A520" s="175" t="s">
        <v>276</v>
      </c>
      <c r="B520" s="175">
        <v>10</v>
      </c>
      <c r="C520" s="176" t="s">
        <v>469</v>
      </c>
      <c r="D520" s="176" t="s">
        <v>331</v>
      </c>
      <c r="E520" s="176" t="s">
        <v>350</v>
      </c>
      <c r="F520" s="176"/>
      <c r="G520" s="176" t="s">
        <v>360</v>
      </c>
      <c r="H520" s="178" t="s">
        <v>325</v>
      </c>
      <c r="I520" s="175" t="s">
        <v>231</v>
      </c>
      <c r="J520" s="179" t="s">
        <v>231</v>
      </c>
      <c r="K520" s="179"/>
      <c r="L520" s="176" t="s">
        <v>373</v>
      </c>
      <c r="M520" s="180">
        <f t="shared" si="31"/>
        <v>1680361.9257448048</v>
      </c>
      <c r="N520" s="181">
        <v>0</v>
      </c>
      <c r="O520" s="181">
        <v>0</v>
      </c>
      <c r="P520" s="181">
        <v>0</v>
      </c>
      <c r="Q520" s="181">
        <v>0</v>
      </c>
      <c r="R520" s="181">
        <v>0</v>
      </c>
      <c r="S520" s="182">
        <f t="shared" si="29"/>
        <v>1680361.9257448048</v>
      </c>
      <c r="T520" s="183"/>
    </row>
    <row r="521" spans="1:20" ht="11.25">
      <c r="A521" s="175" t="s">
        <v>277</v>
      </c>
      <c r="B521" s="175">
        <v>11</v>
      </c>
      <c r="C521" s="176" t="s">
        <v>469</v>
      </c>
      <c r="D521" s="176" t="s">
        <v>331</v>
      </c>
      <c r="E521" s="176" t="s">
        <v>350</v>
      </c>
      <c r="F521" s="176"/>
      <c r="G521" s="176" t="s">
        <v>360</v>
      </c>
      <c r="H521" s="178" t="s">
        <v>325</v>
      </c>
      <c r="I521" s="175" t="s">
        <v>231</v>
      </c>
      <c r="J521" s="179" t="s">
        <v>231</v>
      </c>
      <c r="K521" s="179"/>
      <c r="L521" s="176" t="s">
        <v>373</v>
      </c>
      <c r="M521" s="180">
        <f t="shared" si="31"/>
        <v>1747576.402774597</v>
      </c>
      <c r="N521" s="181">
        <v>0</v>
      </c>
      <c r="O521" s="181">
        <v>0</v>
      </c>
      <c r="P521" s="181">
        <v>0</v>
      </c>
      <c r="Q521" s="181">
        <v>0</v>
      </c>
      <c r="R521" s="181">
        <v>0</v>
      </c>
      <c r="S521" s="182">
        <f t="shared" si="29"/>
        <v>1747576.402774597</v>
      </c>
      <c r="T521" s="183"/>
    </row>
    <row r="522" spans="1:20" ht="11.25">
      <c r="A522" s="175" t="s">
        <v>278</v>
      </c>
      <c r="B522" s="175">
        <v>12</v>
      </c>
      <c r="C522" s="176" t="s">
        <v>469</v>
      </c>
      <c r="D522" s="176" t="s">
        <v>331</v>
      </c>
      <c r="E522" s="176" t="s">
        <v>350</v>
      </c>
      <c r="F522" s="176"/>
      <c r="G522" s="176" t="s">
        <v>360</v>
      </c>
      <c r="H522" s="178" t="s">
        <v>325</v>
      </c>
      <c r="I522" s="175" t="s">
        <v>231</v>
      </c>
      <c r="J522" s="179" t="s">
        <v>231</v>
      </c>
      <c r="K522" s="179"/>
      <c r="L522" s="176" t="s">
        <v>373</v>
      </c>
      <c r="M522" s="180">
        <f t="shared" si="31"/>
        <v>1817479.458885581</v>
      </c>
      <c r="N522" s="181">
        <v>0</v>
      </c>
      <c r="O522" s="181">
        <v>0</v>
      </c>
      <c r="P522" s="181">
        <v>0</v>
      </c>
      <c r="Q522" s="181">
        <v>0</v>
      </c>
      <c r="R522" s="181">
        <v>0</v>
      </c>
      <c r="S522" s="182">
        <f t="shared" si="29"/>
        <v>1817479.458885581</v>
      </c>
      <c r="T522" s="183"/>
    </row>
    <row r="523" spans="1:20" ht="11.25">
      <c r="A523" s="175" t="s">
        <v>279</v>
      </c>
      <c r="B523" s="175">
        <v>13</v>
      </c>
      <c r="C523" s="176" t="s">
        <v>469</v>
      </c>
      <c r="D523" s="176" t="s">
        <v>331</v>
      </c>
      <c r="E523" s="176" t="s">
        <v>350</v>
      </c>
      <c r="F523" s="176"/>
      <c r="G523" s="176" t="s">
        <v>360</v>
      </c>
      <c r="H523" s="178" t="s">
        <v>325</v>
      </c>
      <c r="I523" s="175" t="s">
        <v>231</v>
      </c>
      <c r="J523" s="179" t="s">
        <v>231</v>
      </c>
      <c r="K523" s="179"/>
      <c r="L523" s="176" t="s">
        <v>373</v>
      </c>
      <c r="M523" s="180">
        <f t="shared" si="31"/>
        <v>1890178.6372410043</v>
      </c>
      <c r="N523" s="181">
        <v>0</v>
      </c>
      <c r="O523" s="181">
        <v>0</v>
      </c>
      <c r="P523" s="181">
        <v>0</v>
      </c>
      <c r="Q523" s="181">
        <v>0</v>
      </c>
      <c r="R523" s="181">
        <v>0</v>
      </c>
      <c r="S523" s="182">
        <f t="shared" si="29"/>
        <v>1890178.6372410043</v>
      </c>
      <c r="T523" s="183"/>
    </row>
    <row r="524" spans="1:20" ht="11.25">
      <c r="A524" s="175" t="s">
        <v>280</v>
      </c>
      <c r="B524" s="175">
        <v>14</v>
      </c>
      <c r="C524" s="176" t="s">
        <v>469</v>
      </c>
      <c r="D524" s="176" t="s">
        <v>331</v>
      </c>
      <c r="E524" s="176" t="s">
        <v>350</v>
      </c>
      <c r="F524" s="176"/>
      <c r="G524" s="176" t="s">
        <v>360</v>
      </c>
      <c r="H524" s="178" t="s">
        <v>325</v>
      </c>
      <c r="I524" s="175" t="s">
        <v>231</v>
      </c>
      <c r="J524" s="179" t="s">
        <v>231</v>
      </c>
      <c r="K524" s="179"/>
      <c r="L524" s="176" t="s">
        <v>373</v>
      </c>
      <c r="M524" s="180">
        <f t="shared" si="31"/>
        <v>1965785.7827306446</v>
      </c>
      <c r="N524" s="181">
        <v>0</v>
      </c>
      <c r="O524" s="181">
        <v>0</v>
      </c>
      <c r="P524" s="181">
        <v>0</v>
      </c>
      <c r="Q524" s="181">
        <v>0</v>
      </c>
      <c r="R524" s="181">
        <v>0</v>
      </c>
      <c r="S524" s="182">
        <f t="shared" si="29"/>
        <v>1965785.7827306446</v>
      </c>
      <c r="T524" s="183"/>
    </row>
    <row r="525" spans="1:20" ht="11.25">
      <c r="A525" s="175" t="s">
        <v>281</v>
      </c>
      <c r="B525" s="175">
        <v>15</v>
      </c>
      <c r="C525" s="176" t="s">
        <v>469</v>
      </c>
      <c r="D525" s="176" t="s">
        <v>331</v>
      </c>
      <c r="E525" s="176" t="s">
        <v>350</v>
      </c>
      <c r="F525" s="176"/>
      <c r="G525" s="176" t="s">
        <v>360</v>
      </c>
      <c r="H525" s="178" t="s">
        <v>325</v>
      </c>
      <c r="I525" s="175" t="s">
        <v>231</v>
      </c>
      <c r="J525" s="179" t="s">
        <v>231</v>
      </c>
      <c r="K525" s="179"/>
      <c r="L525" s="176" t="s">
        <v>373</v>
      </c>
      <c r="M525" s="180">
        <f t="shared" si="31"/>
        <v>2044417.2140398705</v>
      </c>
      <c r="N525" s="181">
        <v>0</v>
      </c>
      <c r="O525" s="181">
        <v>0</v>
      </c>
      <c r="P525" s="181">
        <v>0</v>
      </c>
      <c r="Q525" s="181">
        <v>0</v>
      </c>
      <c r="R525" s="181">
        <v>0</v>
      </c>
      <c r="S525" s="182">
        <f t="shared" si="29"/>
        <v>2044417.2140398705</v>
      </c>
      <c r="T525" s="183"/>
    </row>
    <row r="526" spans="1:20" ht="11.25">
      <c r="A526" s="175" t="s">
        <v>282</v>
      </c>
      <c r="B526" s="175">
        <v>16</v>
      </c>
      <c r="C526" s="176" t="s">
        <v>469</v>
      </c>
      <c r="D526" s="176" t="s">
        <v>331</v>
      </c>
      <c r="E526" s="176" t="s">
        <v>350</v>
      </c>
      <c r="F526" s="176"/>
      <c r="G526" s="176" t="s">
        <v>360</v>
      </c>
      <c r="H526" s="178" t="s">
        <v>325</v>
      </c>
      <c r="I526" s="175" t="s">
        <v>231</v>
      </c>
      <c r="J526" s="179" t="s">
        <v>231</v>
      </c>
      <c r="K526" s="179"/>
      <c r="L526" s="176" t="s">
        <v>373</v>
      </c>
      <c r="M526" s="180">
        <f t="shared" si="31"/>
        <v>2126193.9026014656</v>
      </c>
      <c r="N526" s="181">
        <v>0</v>
      </c>
      <c r="O526" s="181">
        <v>0</v>
      </c>
      <c r="P526" s="181">
        <v>0</v>
      </c>
      <c r="Q526" s="181">
        <v>0</v>
      </c>
      <c r="R526" s="181">
        <v>0</v>
      </c>
      <c r="S526" s="182">
        <f t="shared" si="29"/>
        <v>2126193.9026014656</v>
      </c>
      <c r="T526" s="183"/>
    </row>
    <row r="527" spans="1:20" ht="11.25">
      <c r="A527" s="175" t="s">
        <v>283</v>
      </c>
      <c r="B527" s="175">
        <v>17</v>
      </c>
      <c r="C527" s="176" t="s">
        <v>469</v>
      </c>
      <c r="D527" s="176" t="s">
        <v>331</v>
      </c>
      <c r="E527" s="176" t="s">
        <v>350</v>
      </c>
      <c r="F527" s="176"/>
      <c r="G527" s="176" t="s">
        <v>360</v>
      </c>
      <c r="H527" s="178" t="s">
        <v>325</v>
      </c>
      <c r="I527" s="175" t="s">
        <v>231</v>
      </c>
      <c r="J527" s="179" t="s">
        <v>231</v>
      </c>
      <c r="K527" s="179"/>
      <c r="L527" s="176" t="s">
        <v>373</v>
      </c>
      <c r="M527" s="180">
        <f t="shared" si="31"/>
        <v>2211241.658705524</v>
      </c>
      <c r="N527" s="181">
        <v>0</v>
      </c>
      <c r="O527" s="181">
        <v>0</v>
      </c>
      <c r="P527" s="181">
        <v>0</v>
      </c>
      <c r="Q527" s="181">
        <v>0</v>
      </c>
      <c r="R527" s="181">
        <v>0</v>
      </c>
      <c r="S527" s="182">
        <f t="shared" si="29"/>
        <v>2211241.658705524</v>
      </c>
      <c r="T527" s="183"/>
    </row>
    <row r="528" spans="1:20" ht="11.25">
      <c r="A528" s="175" t="s">
        <v>284</v>
      </c>
      <c r="B528" s="175">
        <v>18</v>
      </c>
      <c r="C528" s="176" t="s">
        <v>469</v>
      </c>
      <c r="D528" s="176" t="s">
        <v>331</v>
      </c>
      <c r="E528" s="176" t="s">
        <v>350</v>
      </c>
      <c r="F528" s="176"/>
      <c r="G528" s="176" t="s">
        <v>360</v>
      </c>
      <c r="H528" s="178" t="s">
        <v>325</v>
      </c>
      <c r="I528" s="175" t="s">
        <v>231</v>
      </c>
      <c r="J528" s="179" t="s">
        <v>231</v>
      </c>
      <c r="K528" s="179"/>
      <c r="L528" s="176" t="s">
        <v>373</v>
      </c>
      <c r="M528" s="180">
        <f t="shared" si="31"/>
        <v>2299691.3250537454</v>
      </c>
      <c r="N528" s="181">
        <v>0</v>
      </c>
      <c r="O528" s="181">
        <v>0</v>
      </c>
      <c r="P528" s="181">
        <v>0</v>
      </c>
      <c r="Q528" s="181">
        <v>0</v>
      </c>
      <c r="R528" s="181">
        <v>0</v>
      </c>
      <c r="S528" s="182">
        <f t="shared" si="29"/>
        <v>2299691.3250537454</v>
      </c>
      <c r="T528" s="183"/>
    </row>
    <row r="529" spans="1:20" ht="11.25">
      <c r="A529" s="175" t="s">
        <v>285</v>
      </c>
      <c r="B529" s="175">
        <v>19</v>
      </c>
      <c r="C529" s="176" t="s">
        <v>469</v>
      </c>
      <c r="D529" s="176" t="s">
        <v>331</v>
      </c>
      <c r="E529" s="176" t="s">
        <v>350</v>
      </c>
      <c r="F529" s="176"/>
      <c r="G529" s="176" t="s">
        <v>360</v>
      </c>
      <c r="H529" s="178" t="s">
        <v>325</v>
      </c>
      <c r="I529" s="175" t="s">
        <v>231</v>
      </c>
      <c r="J529" s="179" t="s">
        <v>231</v>
      </c>
      <c r="K529" s="179"/>
      <c r="L529" s="176" t="s">
        <v>373</v>
      </c>
      <c r="M529" s="180">
        <f t="shared" si="31"/>
        <v>2391678.9780558953</v>
      </c>
      <c r="N529" s="181">
        <v>0</v>
      </c>
      <c r="O529" s="181">
        <v>0</v>
      </c>
      <c r="P529" s="181">
        <v>0</v>
      </c>
      <c r="Q529" s="181">
        <v>0</v>
      </c>
      <c r="R529" s="181">
        <v>0</v>
      </c>
      <c r="S529" s="182">
        <f t="shared" si="29"/>
        <v>2391678.9780558953</v>
      </c>
      <c r="T529" s="183"/>
    </row>
    <row r="530" spans="1:20" ht="11.25">
      <c r="A530" s="175" t="s">
        <v>303</v>
      </c>
      <c r="B530" s="175">
        <v>20</v>
      </c>
      <c r="C530" s="176" t="s">
        <v>469</v>
      </c>
      <c r="D530" s="176" t="s">
        <v>331</v>
      </c>
      <c r="E530" s="176" t="s">
        <v>350</v>
      </c>
      <c r="F530" s="176"/>
      <c r="G530" s="176" t="s">
        <v>360</v>
      </c>
      <c r="H530" s="178" t="s">
        <v>325</v>
      </c>
      <c r="I530" s="175" t="s">
        <v>231</v>
      </c>
      <c r="J530" s="179" t="s">
        <v>231</v>
      </c>
      <c r="K530" s="179"/>
      <c r="L530" s="176" t="s">
        <v>373</v>
      </c>
      <c r="M530" s="180">
        <f t="shared" si="31"/>
        <v>2487346.1371781314</v>
      </c>
      <c r="N530" s="181">
        <v>0</v>
      </c>
      <c r="O530" s="181">
        <v>0</v>
      </c>
      <c r="P530" s="181">
        <v>0</v>
      </c>
      <c r="Q530" s="181">
        <v>0</v>
      </c>
      <c r="R530" s="181">
        <v>0</v>
      </c>
      <c r="S530" s="182">
        <f t="shared" si="29"/>
        <v>2487346.1371781314</v>
      </c>
      <c r="T530" s="183"/>
    </row>
    <row r="531" spans="1:20" ht="11.25">
      <c r="A531" s="175" t="s">
        <v>265</v>
      </c>
      <c r="B531" s="175">
        <v>0</v>
      </c>
      <c r="C531" s="176" t="s">
        <v>469</v>
      </c>
      <c r="D531" s="176" t="s">
        <v>347</v>
      </c>
      <c r="E531" s="176" t="s">
        <v>338</v>
      </c>
      <c r="F531" s="176"/>
      <c r="G531" s="176" t="s">
        <v>324</v>
      </c>
      <c r="H531" s="178" t="s">
        <v>325</v>
      </c>
      <c r="I531" s="175" t="s">
        <v>231</v>
      </c>
      <c r="J531" s="179" t="s">
        <v>326</v>
      </c>
      <c r="K531" s="179"/>
      <c r="L531" s="176" t="s">
        <v>374</v>
      </c>
      <c r="M531" s="180">
        <v>108160</v>
      </c>
      <c r="N531" s="181">
        <v>0</v>
      </c>
      <c r="O531" s="181">
        <v>0</v>
      </c>
      <c r="P531" s="181">
        <v>0</v>
      </c>
      <c r="Q531" s="181">
        <v>0</v>
      </c>
      <c r="R531" s="181">
        <v>0</v>
      </c>
      <c r="S531" s="182">
        <f t="shared" si="29"/>
        <v>108160</v>
      </c>
      <c r="T531" s="183"/>
    </row>
    <row r="532" spans="1:20" ht="11.25">
      <c r="A532" s="175" t="s">
        <v>267</v>
      </c>
      <c r="B532" s="175">
        <v>1</v>
      </c>
      <c r="C532" s="176" t="s">
        <v>469</v>
      </c>
      <c r="D532" s="176" t="s">
        <v>347</v>
      </c>
      <c r="E532" s="176" t="s">
        <v>338</v>
      </c>
      <c r="F532" s="176"/>
      <c r="G532" s="176" t="s">
        <v>324</v>
      </c>
      <c r="H532" s="178" t="s">
        <v>325</v>
      </c>
      <c r="I532" s="175" t="s">
        <v>231</v>
      </c>
      <c r="J532" s="179" t="s">
        <v>352</v>
      </c>
      <c r="K532" s="179"/>
      <c r="L532" s="176" t="s">
        <v>374</v>
      </c>
      <c r="M532" s="180">
        <f>IF(J532="Y",M531*(1+$F$4),IF(J532="I",M531*(1+$E$4),M531))</f>
        <v>110863.99999999999</v>
      </c>
      <c r="N532" s="181">
        <v>0</v>
      </c>
      <c r="O532" s="181">
        <v>0</v>
      </c>
      <c r="P532" s="181">
        <v>0</v>
      </c>
      <c r="Q532" s="181">
        <v>0</v>
      </c>
      <c r="R532" s="181">
        <v>0</v>
      </c>
      <c r="S532" s="182">
        <f t="shared" si="29"/>
        <v>110863.99999999999</v>
      </c>
      <c r="T532" s="183"/>
    </row>
    <row r="533" spans="1:20" ht="11.25">
      <c r="A533" s="175" t="s">
        <v>268</v>
      </c>
      <c r="B533" s="175">
        <v>2</v>
      </c>
      <c r="C533" s="176" t="s">
        <v>469</v>
      </c>
      <c r="D533" s="176" t="s">
        <v>347</v>
      </c>
      <c r="E533" s="176" t="s">
        <v>338</v>
      </c>
      <c r="F533" s="176"/>
      <c r="G533" s="176" t="s">
        <v>324</v>
      </c>
      <c r="H533" s="178" t="s">
        <v>325</v>
      </c>
      <c r="I533" s="175" t="s">
        <v>231</v>
      </c>
      <c r="J533" s="179" t="s">
        <v>352</v>
      </c>
      <c r="K533" s="179"/>
      <c r="L533" s="176" t="s">
        <v>374</v>
      </c>
      <c r="M533" s="180">
        <f aca="true" t="shared" si="32" ref="M533:M551">IF(J533="Y",M532*(1+$C$4),IF(J533="I",M532*(1+$E$4),M532))</f>
        <v>113635.59999999998</v>
      </c>
      <c r="N533" s="181">
        <v>0</v>
      </c>
      <c r="O533" s="181">
        <v>0</v>
      </c>
      <c r="P533" s="181">
        <v>0</v>
      </c>
      <c r="Q533" s="181">
        <v>0</v>
      </c>
      <c r="R533" s="181">
        <v>0</v>
      </c>
      <c r="S533" s="182">
        <f t="shared" si="29"/>
        <v>113635.59999999998</v>
      </c>
      <c r="T533" s="183"/>
    </row>
    <row r="534" spans="1:20" ht="11.25">
      <c r="A534" s="175" t="s">
        <v>269</v>
      </c>
      <c r="B534" s="175">
        <v>3</v>
      </c>
      <c r="C534" s="176" t="s">
        <v>469</v>
      </c>
      <c r="D534" s="176" t="s">
        <v>347</v>
      </c>
      <c r="E534" s="176" t="s">
        <v>338</v>
      </c>
      <c r="F534" s="176"/>
      <c r="G534" s="176" t="s">
        <v>324</v>
      </c>
      <c r="H534" s="178" t="s">
        <v>325</v>
      </c>
      <c r="I534" s="175" t="s">
        <v>231</v>
      </c>
      <c r="J534" s="179" t="s">
        <v>352</v>
      </c>
      <c r="K534" s="179"/>
      <c r="L534" s="176" t="s">
        <v>374</v>
      </c>
      <c r="M534" s="180">
        <f t="shared" si="32"/>
        <v>116476.48999999996</v>
      </c>
      <c r="N534" s="181">
        <v>0</v>
      </c>
      <c r="O534" s="181">
        <v>0</v>
      </c>
      <c r="P534" s="181">
        <v>0</v>
      </c>
      <c r="Q534" s="181">
        <v>0</v>
      </c>
      <c r="R534" s="181">
        <v>0</v>
      </c>
      <c r="S534" s="182">
        <f t="shared" si="29"/>
        <v>116476.48999999996</v>
      </c>
      <c r="T534" s="183"/>
    </row>
    <row r="535" spans="1:20" ht="11.25">
      <c r="A535" s="175" t="s">
        <v>270</v>
      </c>
      <c r="B535" s="175">
        <v>4</v>
      </c>
      <c r="C535" s="176" t="s">
        <v>469</v>
      </c>
      <c r="D535" s="176" t="s">
        <v>347</v>
      </c>
      <c r="E535" s="176" t="s">
        <v>338</v>
      </c>
      <c r="F535" s="176"/>
      <c r="G535" s="176" t="s">
        <v>324</v>
      </c>
      <c r="H535" s="178" t="s">
        <v>325</v>
      </c>
      <c r="I535" s="175" t="s">
        <v>231</v>
      </c>
      <c r="J535" s="179" t="s">
        <v>352</v>
      </c>
      <c r="K535" s="179"/>
      <c r="L535" s="176" t="s">
        <v>374</v>
      </c>
      <c r="M535" s="180">
        <f t="shared" si="32"/>
        <v>119388.40224999996</v>
      </c>
      <c r="N535" s="181">
        <v>0</v>
      </c>
      <c r="O535" s="181">
        <v>0</v>
      </c>
      <c r="P535" s="181">
        <v>0</v>
      </c>
      <c r="Q535" s="181">
        <v>0</v>
      </c>
      <c r="R535" s="181">
        <v>0</v>
      </c>
      <c r="S535" s="182">
        <f t="shared" si="29"/>
        <v>119388.40224999996</v>
      </c>
      <c r="T535" s="183"/>
    </row>
    <row r="536" spans="1:20" ht="11.25">
      <c r="A536" s="175" t="s">
        <v>271</v>
      </c>
      <c r="B536" s="175">
        <v>5</v>
      </c>
      <c r="C536" s="176" t="s">
        <v>469</v>
      </c>
      <c r="D536" s="176" t="s">
        <v>347</v>
      </c>
      <c r="E536" s="176" t="s">
        <v>338</v>
      </c>
      <c r="F536" s="176"/>
      <c r="G536" s="176" t="s">
        <v>324</v>
      </c>
      <c r="H536" s="178" t="s">
        <v>325</v>
      </c>
      <c r="I536" s="175" t="s">
        <v>231</v>
      </c>
      <c r="J536" s="179" t="s">
        <v>352</v>
      </c>
      <c r="K536" s="179"/>
      <c r="L536" s="176" t="s">
        <v>374</v>
      </c>
      <c r="M536" s="180">
        <f t="shared" si="32"/>
        <v>122373.11230624994</v>
      </c>
      <c r="N536" s="181">
        <v>0</v>
      </c>
      <c r="O536" s="181">
        <v>0</v>
      </c>
      <c r="P536" s="181">
        <v>0</v>
      </c>
      <c r="Q536" s="181">
        <v>0</v>
      </c>
      <c r="R536" s="181">
        <v>0</v>
      </c>
      <c r="S536" s="182">
        <f t="shared" si="29"/>
        <v>122373.11230624994</v>
      </c>
      <c r="T536" s="183"/>
    </row>
    <row r="537" spans="1:20" ht="11.25">
      <c r="A537" s="175" t="s">
        <v>272</v>
      </c>
      <c r="B537" s="175">
        <v>6</v>
      </c>
      <c r="C537" s="176" t="s">
        <v>469</v>
      </c>
      <c r="D537" s="176" t="s">
        <v>347</v>
      </c>
      <c r="E537" s="176" t="s">
        <v>338</v>
      </c>
      <c r="F537" s="176"/>
      <c r="G537" s="176" t="s">
        <v>324</v>
      </c>
      <c r="H537" s="178" t="s">
        <v>325</v>
      </c>
      <c r="I537" s="175" t="s">
        <v>231</v>
      </c>
      <c r="J537" s="179" t="s">
        <v>352</v>
      </c>
      <c r="K537" s="179"/>
      <c r="L537" s="176" t="s">
        <v>374</v>
      </c>
      <c r="M537" s="180">
        <f t="shared" si="32"/>
        <v>125432.44011390618</v>
      </c>
      <c r="N537" s="181">
        <v>0</v>
      </c>
      <c r="O537" s="181">
        <v>0</v>
      </c>
      <c r="P537" s="181">
        <v>0</v>
      </c>
      <c r="Q537" s="181">
        <v>0</v>
      </c>
      <c r="R537" s="181">
        <v>0</v>
      </c>
      <c r="S537" s="182">
        <f t="shared" si="29"/>
        <v>125432.44011390618</v>
      </c>
      <c r="T537" s="183"/>
    </row>
    <row r="538" spans="1:20" ht="11.25">
      <c r="A538" s="175" t="s">
        <v>273</v>
      </c>
      <c r="B538" s="175">
        <v>7</v>
      </c>
      <c r="C538" s="176" t="s">
        <v>469</v>
      </c>
      <c r="D538" s="176" t="s">
        <v>347</v>
      </c>
      <c r="E538" s="176" t="s">
        <v>338</v>
      </c>
      <c r="F538" s="176"/>
      <c r="G538" s="176" t="s">
        <v>324</v>
      </c>
      <c r="H538" s="178" t="s">
        <v>325</v>
      </c>
      <c r="I538" s="175" t="s">
        <v>231</v>
      </c>
      <c r="J538" s="179" t="s">
        <v>352</v>
      </c>
      <c r="K538" s="179"/>
      <c r="L538" s="176" t="s">
        <v>374</v>
      </c>
      <c r="M538" s="180">
        <f t="shared" si="32"/>
        <v>128568.25111675382</v>
      </c>
      <c r="N538" s="181">
        <v>0</v>
      </c>
      <c r="O538" s="181">
        <v>0</v>
      </c>
      <c r="P538" s="181">
        <v>0</v>
      </c>
      <c r="Q538" s="181">
        <v>0</v>
      </c>
      <c r="R538" s="181">
        <v>0</v>
      </c>
      <c r="S538" s="182">
        <f t="shared" si="29"/>
        <v>128568.25111675382</v>
      </c>
      <c r="T538" s="183"/>
    </row>
    <row r="539" spans="1:20" ht="11.25">
      <c r="A539" s="175" t="s">
        <v>274</v>
      </c>
      <c r="B539" s="175">
        <v>8</v>
      </c>
      <c r="C539" s="176" t="s">
        <v>469</v>
      </c>
      <c r="D539" s="176" t="s">
        <v>347</v>
      </c>
      <c r="E539" s="176" t="s">
        <v>338</v>
      </c>
      <c r="F539" s="176"/>
      <c r="G539" s="176" t="s">
        <v>324</v>
      </c>
      <c r="H539" s="178" t="s">
        <v>325</v>
      </c>
      <c r="I539" s="175" t="s">
        <v>231</v>
      </c>
      <c r="J539" s="179" t="s">
        <v>352</v>
      </c>
      <c r="K539" s="179"/>
      <c r="L539" s="176" t="s">
        <v>374</v>
      </c>
      <c r="M539" s="180">
        <f t="shared" si="32"/>
        <v>131782.45739467265</v>
      </c>
      <c r="N539" s="181">
        <v>0</v>
      </c>
      <c r="O539" s="181">
        <v>0</v>
      </c>
      <c r="P539" s="181">
        <v>0</v>
      </c>
      <c r="Q539" s="181">
        <v>0</v>
      </c>
      <c r="R539" s="181">
        <v>0</v>
      </c>
      <c r="S539" s="182">
        <f aca="true" t="shared" si="33" ref="S539:S602">M539-SUM(N539:R539)</f>
        <v>131782.45739467265</v>
      </c>
      <c r="T539" s="183"/>
    </row>
    <row r="540" spans="1:20" ht="11.25">
      <c r="A540" s="175" t="s">
        <v>275</v>
      </c>
      <c r="B540" s="175">
        <v>9</v>
      </c>
      <c r="C540" s="176" t="s">
        <v>469</v>
      </c>
      <c r="D540" s="176" t="s">
        <v>347</v>
      </c>
      <c r="E540" s="176" t="s">
        <v>338</v>
      </c>
      <c r="F540" s="176"/>
      <c r="G540" s="176" t="s">
        <v>324</v>
      </c>
      <c r="H540" s="178" t="s">
        <v>325</v>
      </c>
      <c r="I540" s="175" t="s">
        <v>231</v>
      </c>
      <c r="J540" s="179" t="s">
        <v>352</v>
      </c>
      <c r="K540" s="179"/>
      <c r="L540" s="176" t="s">
        <v>374</v>
      </c>
      <c r="M540" s="180">
        <f t="shared" si="32"/>
        <v>135077.01882953945</v>
      </c>
      <c r="N540" s="181">
        <v>0</v>
      </c>
      <c r="O540" s="181">
        <v>0</v>
      </c>
      <c r="P540" s="181">
        <v>0</v>
      </c>
      <c r="Q540" s="181">
        <v>0</v>
      </c>
      <c r="R540" s="181">
        <v>0</v>
      </c>
      <c r="S540" s="182">
        <f t="shared" si="33"/>
        <v>135077.01882953945</v>
      </c>
      <c r="T540" s="183"/>
    </row>
    <row r="541" spans="1:20" ht="11.25">
      <c r="A541" s="175" t="s">
        <v>276</v>
      </c>
      <c r="B541" s="175">
        <v>10</v>
      </c>
      <c r="C541" s="176" t="s">
        <v>469</v>
      </c>
      <c r="D541" s="176" t="s">
        <v>347</v>
      </c>
      <c r="E541" s="176" t="s">
        <v>338</v>
      </c>
      <c r="F541" s="176"/>
      <c r="G541" s="176" t="s">
        <v>324</v>
      </c>
      <c r="H541" s="178" t="s">
        <v>325</v>
      </c>
      <c r="I541" s="175" t="s">
        <v>231</v>
      </c>
      <c r="J541" s="179" t="s">
        <v>352</v>
      </c>
      <c r="K541" s="179"/>
      <c r="L541" s="176" t="s">
        <v>374</v>
      </c>
      <c r="M541" s="180">
        <f t="shared" si="32"/>
        <v>138453.94430027792</v>
      </c>
      <c r="N541" s="181">
        <v>0</v>
      </c>
      <c r="O541" s="181">
        <v>0</v>
      </c>
      <c r="P541" s="181">
        <v>0</v>
      </c>
      <c r="Q541" s="181">
        <v>0</v>
      </c>
      <c r="R541" s="181">
        <v>0</v>
      </c>
      <c r="S541" s="182">
        <f t="shared" si="33"/>
        <v>138453.94430027792</v>
      </c>
      <c r="T541" s="183"/>
    </row>
    <row r="542" spans="1:20" ht="11.25">
      <c r="A542" s="175" t="s">
        <v>277</v>
      </c>
      <c r="B542" s="175">
        <v>11</v>
      </c>
      <c r="C542" s="176" t="s">
        <v>469</v>
      </c>
      <c r="D542" s="176" t="s">
        <v>347</v>
      </c>
      <c r="E542" s="176" t="s">
        <v>338</v>
      </c>
      <c r="F542" s="176"/>
      <c r="G542" s="176" t="s">
        <v>324</v>
      </c>
      <c r="H542" s="178" t="s">
        <v>325</v>
      </c>
      <c r="I542" s="175" t="s">
        <v>231</v>
      </c>
      <c r="J542" s="179" t="s">
        <v>352</v>
      </c>
      <c r="K542" s="179"/>
      <c r="L542" s="176" t="s">
        <v>374</v>
      </c>
      <c r="M542" s="180">
        <f t="shared" si="32"/>
        <v>141915.29290778484</v>
      </c>
      <c r="N542" s="181">
        <v>0</v>
      </c>
      <c r="O542" s="181">
        <v>0</v>
      </c>
      <c r="P542" s="181">
        <v>0</v>
      </c>
      <c r="Q542" s="181">
        <v>0</v>
      </c>
      <c r="R542" s="181">
        <v>0</v>
      </c>
      <c r="S542" s="182">
        <f t="shared" si="33"/>
        <v>141915.29290778484</v>
      </c>
      <c r="T542" s="183"/>
    </row>
    <row r="543" spans="1:20" ht="11.25">
      <c r="A543" s="175" t="s">
        <v>278</v>
      </c>
      <c r="B543" s="175">
        <v>12</v>
      </c>
      <c r="C543" s="176" t="s">
        <v>469</v>
      </c>
      <c r="D543" s="176" t="s">
        <v>347</v>
      </c>
      <c r="E543" s="176" t="s">
        <v>338</v>
      </c>
      <c r="F543" s="176"/>
      <c r="G543" s="176" t="s">
        <v>324</v>
      </c>
      <c r="H543" s="178" t="s">
        <v>325</v>
      </c>
      <c r="I543" s="175" t="s">
        <v>231</v>
      </c>
      <c r="J543" s="179" t="s">
        <v>352</v>
      </c>
      <c r="K543" s="179"/>
      <c r="L543" s="176" t="s">
        <v>374</v>
      </c>
      <c r="M543" s="180">
        <f t="shared" si="32"/>
        <v>145463.17523047945</v>
      </c>
      <c r="N543" s="181">
        <v>0</v>
      </c>
      <c r="O543" s="181">
        <v>0</v>
      </c>
      <c r="P543" s="181">
        <v>0</v>
      </c>
      <c r="Q543" s="181">
        <v>0</v>
      </c>
      <c r="R543" s="181">
        <v>0</v>
      </c>
      <c r="S543" s="182">
        <f t="shared" si="33"/>
        <v>145463.17523047945</v>
      </c>
      <c r="T543" s="183"/>
    </row>
    <row r="544" spans="1:20" ht="11.25">
      <c r="A544" s="175" t="s">
        <v>279</v>
      </c>
      <c r="B544" s="175">
        <v>13</v>
      </c>
      <c r="C544" s="176" t="s">
        <v>469</v>
      </c>
      <c r="D544" s="176" t="s">
        <v>347</v>
      </c>
      <c r="E544" s="176" t="s">
        <v>338</v>
      </c>
      <c r="F544" s="176"/>
      <c r="G544" s="176" t="s">
        <v>324</v>
      </c>
      <c r="H544" s="178" t="s">
        <v>325</v>
      </c>
      <c r="I544" s="175" t="s">
        <v>231</v>
      </c>
      <c r="J544" s="179" t="s">
        <v>352</v>
      </c>
      <c r="K544" s="179"/>
      <c r="L544" s="176" t="s">
        <v>374</v>
      </c>
      <c r="M544" s="180">
        <f t="shared" si="32"/>
        <v>149099.75461124143</v>
      </c>
      <c r="N544" s="181">
        <v>0</v>
      </c>
      <c r="O544" s="181">
        <v>0</v>
      </c>
      <c r="P544" s="181">
        <v>0</v>
      </c>
      <c r="Q544" s="181">
        <v>0</v>
      </c>
      <c r="R544" s="181">
        <v>0</v>
      </c>
      <c r="S544" s="182">
        <f t="shared" si="33"/>
        <v>149099.75461124143</v>
      </c>
      <c r="T544" s="183"/>
    </row>
    <row r="545" spans="1:20" ht="11.25">
      <c r="A545" s="175" t="s">
        <v>280</v>
      </c>
      <c r="B545" s="175">
        <v>14</v>
      </c>
      <c r="C545" s="176" t="s">
        <v>469</v>
      </c>
      <c r="D545" s="176" t="s">
        <v>347</v>
      </c>
      <c r="E545" s="176" t="s">
        <v>338</v>
      </c>
      <c r="F545" s="176"/>
      <c r="G545" s="176" t="s">
        <v>324</v>
      </c>
      <c r="H545" s="178" t="s">
        <v>325</v>
      </c>
      <c r="I545" s="175" t="s">
        <v>231</v>
      </c>
      <c r="J545" s="179" t="s">
        <v>352</v>
      </c>
      <c r="K545" s="179"/>
      <c r="L545" s="176" t="s">
        <v>374</v>
      </c>
      <c r="M545" s="180">
        <f t="shared" si="32"/>
        <v>152827.24847652245</v>
      </c>
      <c r="N545" s="181">
        <v>0</v>
      </c>
      <c r="O545" s="181">
        <v>0</v>
      </c>
      <c r="P545" s="181">
        <v>0</v>
      </c>
      <c r="Q545" s="181">
        <v>0</v>
      </c>
      <c r="R545" s="181">
        <v>0</v>
      </c>
      <c r="S545" s="182">
        <f t="shared" si="33"/>
        <v>152827.24847652245</v>
      </c>
      <c r="T545" s="183"/>
    </row>
    <row r="546" spans="1:20" ht="11.25">
      <c r="A546" s="175" t="s">
        <v>281</v>
      </c>
      <c r="B546" s="175">
        <v>15</v>
      </c>
      <c r="C546" s="176" t="s">
        <v>469</v>
      </c>
      <c r="D546" s="176" t="s">
        <v>347</v>
      </c>
      <c r="E546" s="176" t="s">
        <v>338</v>
      </c>
      <c r="F546" s="176"/>
      <c r="G546" s="176" t="s">
        <v>324</v>
      </c>
      <c r="H546" s="178" t="s">
        <v>325</v>
      </c>
      <c r="I546" s="175" t="s">
        <v>231</v>
      </c>
      <c r="J546" s="179" t="s">
        <v>352</v>
      </c>
      <c r="K546" s="179"/>
      <c r="L546" s="176" t="s">
        <v>374</v>
      </c>
      <c r="M546" s="180">
        <f t="shared" si="32"/>
        <v>156647.92968843548</v>
      </c>
      <c r="N546" s="181">
        <v>0</v>
      </c>
      <c r="O546" s="181">
        <v>0</v>
      </c>
      <c r="P546" s="181">
        <v>0</v>
      </c>
      <c r="Q546" s="181">
        <v>0</v>
      </c>
      <c r="R546" s="181">
        <v>0</v>
      </c>
      <c r="S546" s="182">
        <f t="shared" si="33"/>
        <v>156647.92968843548</v>
      </c>
      <c r="T546" s="183"/>
    </row>
    <row r="547" spans="1:20" ht="11.25">
      <c r="A547" s="175" t="s">
        <v>282</v>
      </c>
      <c r="B547" s="175">
        <v>16</v>
      </c>
      <c r="C547" s="176" t="s">
        <v>469</v>
      </c>
      <c r="D547" s="176" t="s">
        <v>347</v>
      </c>
      <c r="E547" s="176" t="s">
        <v>338</v>
      </c>
      <c r="F547" s="176"/>
      <c r="G547" s="176" t="s">
        <v>324</v>
      </c>
      <c r="H547" s="178" t="s">
        <v>325</v>
      </c>
      <c r="I547" s="175" t="s">
        <v>231</v>
      </c>
      <c r="J547" s="179" t="s">
        <v>352</v>
      </c>
      <c r="K547" s="179"/>
      <c r="L547" s="176" t="s">
        <v>374</v>
      </c>
      <c r="M547" s="180">
        <f t="shared" si="32"/>
        <v>160564.12793064635</v>
      </c>
      <c r="N547" s="181">
        <v>0</v>
      </c>
      <c r="O547" s="181">
        <v>0</v>
      </c>
      <c r="P547" s="181">
        <v>0</v>
      </c>
      <c r="Q547" s="181">
        <v>0</v>
      </c>
      <c r="R547" s="181">
        <v>0</v>
      </c>
      <c r="S547" s="182">
        <f t="shared" si="33"/>
        <v>160564.12793064635</v>
      </c>
      <c r="T547" s="183"/>
    </row>
    <row r="548" spans="1:20" ht="11.25">
      <c r="A548" s="175" t="s">
        <v>283</v>
      </c>
      <c r="B548" s="175">
        <v>17</v>
      </c>
      <c r="C548" s="176" t="s">
        <v>469</v>
      </c>
      <c r="D548" s="176" t="s">
        <v>347</v>
      </c>
      <c r="E548" s="176" t="s">
        <v>338</v>
      </c>
      <c r="F548" s="176"/>
      <c r="G548" s="176" t="s">
        <v>324</v>
      </c>
      <c r="H548" s="178" t="s">
        <v>325</v>
      </c>
      <c r="I548" s="175" t="s">
        <v>231</v>
      </c>
      <c r="J548" s="179" t="s">
        <v>352</v>
      </c>
      <c r="K548" s="179"/>
      <c r="L548" s="176" t="s">
        <v>374</v>
      </c>
      <c r="M548" s="180">
        <f t="shared" si="32"/>
        <v>164578.2311289125</v>
      </c>
      <c r="N548" s="181">
        <v>0</v>
      </c>
      <c r="O548" s="181">
        <v>0</v>
      </c>
      <c r="P548" s="181">
        <v>0</v>
      </c>
      <c r="Q548" s="181">
        <v>0</v>
      </c>
      <c r="R548" s="181">
        <v>0</v>
      </c>
      <c r="S548" s="182">
        <f t="shared" si="33"/>
        <v>164578.2311289125</v>
      </c>
      <c r="T548" s="183"/>
    </row>
    <row r="549" spans="1:20" ht="11.25">
      <c r="A549" s="175" t="s">
        <v>284</v>
      </c>
      <c r="B549" s="175">
        <v>18</v>
      </c>
      <c r="C549" s="176" t="s">
        <v>469</v>
      </c>
      <c r="D549" s="176" t="s">
        <v>347</v>
      </c>
      <c r="E549" s="176" t="s">
        <v>338</v>
      </c>
      <c r="F549" s="176"/>
      <c r="G549" s="176" t="s">
        <v>324</v>
      </c>
      <c r="H549" s="178" t="s">
        <v>325</v>
      </c>
      <c r="I549" s="175" t="s">
        <v>231</v>
      </c>
      <c r="J549" s="179" t="s">
        <v>352</v>
      </c>
      <c r="K549" s="179"/>
      <c r="L549" s="176" t="s">
        <v>374</v>
      </c>
      <c r="M549" s="180">
        <f t="shared" si="32"/>
        <v>168692.6869071353</v>
      </c>
      <c r="N549" s="181">
        <v>0</v>
      </c>
      <c r="O549" s="181">
        <v>0</v>
      </c>
      <c r="P549" s="181">
        <v>0</v>
      </c>
      <c r="Q549" s="181">
        <v>0</v>
      </c>
      <c r="R549" s="181">
        <v>0</v>
      </c>
      <c r="S549" s="182">
        <f t="shared" si="33"/>
        <v>168692.6869071353</v>
      </c>
      <c r="T549" s="183"/>
    </row>
    <row r="550" spans="1:20" ht="11.25">
      <c r="A550" s="175" t="s">
        <v>285</v>
      </c>
      <c r="B550" s="175">
        <v>19</v>
      </c>
      <c r="C550" s="176" t="s">
        <v>469</v>
      </c>
      <c r="D550" s="176" t="s">
        <v>347</v>
      </c>
      <c r="E550" s="176" t="s">
        <v>338</v>
      </c>
      <c r="F550" s="176"/>
      <c r="G550" s="176" t="s">
        <v>324</v>
      </c>
      <c r="H550" s="178" t="s">
        <v>325</v>
      </c>
      <c r="I550" s="175" t="s">
        <v>231</v>
      </c>
      <c r="J550" s="179" t="s">
        <v>352</v>
      </c>
      <c r="K550" s="179"/>
      <c r="L550" s="176" t="s">
        <v>374</v>
      </c>
      <c r="M550" s="180">
        <f t="shared" si="32"/>
        <v>172910.00407981366</v>
      </c>
      <c r="N550" s="181">
        <v>0</v>
      </c>
      <c r="O550" s="181">
        <v>0</v>
      </c>
      <c r="P550" s="181">
        <v>0</v>
      </c>
      <c r="Q550" s="181">
        <v>0</v>
      </c>
      <c r="R550" s="181">
        <v>0</v>
      </c>
      <c r="S550" s="182">
        <f t="shared" si="33"/>
        <v>172910.00407981366</v>
      </c>
      <c r="T550" s="183"/>
    </row>
    <row r="551" spans="1:20" ht="11.25">
      <c r="A551" s="175" t="s">
        <v>303</v>
      </c>
      <c r="B551" s="175">
        <v>20</v>
      </c>
      <c r="C551" s="176" t="s">
        <v>469</v>
      </c>
      <c r="D551" s="176" t="s">
        <v>347</v>
      </c>
      <c r="E551" s="176" t="s">
        <v>338</v>
      </c>
      <c r="F551" s="176"/>
      <c r="G551" s="176" t="s">
        <v>324</v>
      </c>
      <c r="H551" s="178" t="s">
        <v>325</v>
      </c>
      <c r="I551" s="175" t="s">
        <v>231</v>
      </c>
      <c r="J551" s="179" t="s">
        <v>352</v>
      </c>
      <c r="K551" s="179"/>
      <c r="L551" s="176" t="s">
        <v>374</v>
      </c>
      <c r="M551" s="180">
        <f t="shared" si="32"/>
        <v>177232.754181809</v>
      </c>
      <c r="N551" s="181">
        <v>0</v>
      </c>
      <c r="O551" s="181">
        <v>0</v>
      </c>
      <c r="P551" s="181">
        <v>0</v>
      </c>
      <c r="Q551" s="181">
        <v>0</v>
      </c>
      <c r="R551" s="181">
        <v>0</v>
      </c>
      <c r="S551" s="182">
        <f t="shared" si="33"/>
        <v>177232.754181809</v>
      </c>
      <c r="T551" s="183"/>
    </row>
    <row r="552" spans="1:20" ht="11.25">
      <c r="A552" s="175" t="s">
        <v>265</v>
      </c>
      <c r="B552" s="175">
        <v>0</v>
      </c>
      <c r="C552" s="176" t="s">
        <v>355</v>
      </c>
      <c r="D552" s="176" t="s">
        <v>322</v>
      </c>
      <c r="E552" s="186" t="s">
        <v>375</v>
      </c>
      <c r="F552" s="186"/>
      <c r="G552" s="176" t="s">
        <v>324</v>
      </c>
      <c r="H552" s="178" t="s">
        <v>325</v>
      </c>
      <c r="I552" s="175" t="s">
        <v>231</v>
      </c>
      <c r="J552" s="179" t="s">
        <v>326</v>
      </c>
      <c r="K552" s="179"/>
      <c r="L552" s="176" t="s">
        <v>376</v>
      </c>
      <c r="M552" s="180">
        <v>135200</v>
      </c>
      <c r="N552" s="181">
        <v>0</v>
      </c>
      <c r="O552" s="181">
        <v>0</v>
      </c>
      <c r="P552" s="181">
        <v>0</v>
      </c>
      <c r="Q552" s="181">
        <v>0</v>
      </c>
      <c r="R552" s="181">
        <v>0</v>
      </c>
      <c r="S552" s="182">
        <f t="shared" si="33"/>
        <v>135200</v>
      </c>
      <c r="T552" s="183"/>
    </row>
    <row r="553" spans="1:20" ht="11.25">
      <c r="A553" s="175" t="s">
        <v>267</v>
      </c>
      <c r="B553" s="175">
        <v>1</v>
      </c>
      <c r="C553" s="176" t="s">
        <v>355</v>
      </c>
      <c r="D553" s="176" t="s">
        <v>322</v>
      </c>
      <c r="E553" s="186" t="s">
        <v>375</v>
      </c>
      <c r="F553" s="186"/>
      <c r="G553" s="176" t="s">
        <v>324</v>
      </c>
      <c r="H553" s="178" t="s">
        <v>325</v>
      </c>
      <c r="I553" s="175" t="s">
        <v>231</v>
      </c>
      <c r="J553" s="179" t="s">
        <v>352</v>
      </c>
      <c r="K553" s="179"/>
      <c r="L553" s="176" t="s">
        <v>376</v>
      </c>
      <c r="M553" s="180">
        <f>IF(J553="Y",M552*(1+$F$4),IF(J553="I",M552*(1+$E$4),M552))</f>
        <v>138580</v>
      </c>
      <c r="N553" s="181">
        <v>0</v>
      </c>
      <c r="O553" s="181">
        <v>0</v>
      </c>
      <c r="P553" s="181">
        <v>0</v>
      </c>
      <c r="Q553" s="181">
        <v>0</v>
      </c>
      <c r="R553" s="181">
        <v>0</v>
      </c>
      <c r="S553" s="182">
        <f t="shared" si="33"/>
        <v>138580</v>
      </c>
      <c r="T553" s="183"/>
    </row>
    <row r="554" spans="1:20" ht="11.25">
      <c r="A554" s="175" t="s">
        <v>268</v>
      </c>
      <c r="B554" s="175">
        <v>2</v>
      </c>
      <c r="C554" s="176" t="s">
        <v>355</v>
      </c>
      <c r="D554" s="176" t="s">
        <v>322</v>
      </c>
      <c r="E554" s="186" t="s">
        <v>375</v>
      </c>
      <c r="F554" s="186"/>
      <c r="G554" s="176" t="s">
        <v>324</v>
      </c>
      <c r="H554" s="178" t="s">
        <v>325</v>
      </c>
      <c r="I554" s="175" t="s">
        <v>231</v>
      </c>
      <c r="J554" s="179" t="s">
        <v>352</v>
      </c>
      <c r="K554" s="179"/>
      <c r="L554" s="176" t="s">
        <v>376</v>
      </c>
      <c r="M554" s="180">
        <f aca="true" t="shared" si="34" ref="M554:M572">IF(J554="Y",M553*(1+$C$4),IF(J554="I",M553*(1+$E$4),M553))</f>
        <v>142044.5</v>
      </c>
      <c r="N554" s="181">
        <v>0</v>
      </c>
      <c r="O554" s="181">
        <v>0</v>
      </c>
      <c r="P554" s="181">
        <v>0</v>
      </c>
      <c r="Q554" s="181">
        <v>0</v>
      </c>
      <c r="R554" s="181">
        <v>0</v>
      </c>
      <c r="S554" s="182">
        <f t="shared" si="33"/>
        <v>142044.5</v>
      </c>
      <c r="T554" s="183"/>
    </row>
    <row r="555" spans="1:20" ht="11.25">
      <c r="A555" s="175" t="s">
        <v>269</v>
      </c>
      <c r="B555" s="175">
        <v>3</v>
      </c>
      <c r="C555" s="176" t="s">
        <v>355</v>
      </c>
      <c r="D555" s="176" t="s">
        <v>322</v>
      </c>
      <c r="E555" s="186" t="s">
        <v>375</v>
      </c>
      <c r="F555" s="186"/>
      <c r="G555" s="176" t="s">
        <v>324</v>
      </c>
      <c r="H555" s="178" t="s">
        <v>325</v>
      </c>
      <c r="I555" s="175" t="s">
        <v>231</v>
      </c>
      <c r="J555" s="179" t="s">
        <v>352</v>
      </c>
      <c r="K555" s="179"/>
      <c r="L555" s="176" t="s">
        <v>376</v>
      </c>
      <c r="M555" s="180">
        <f t="shared" si="34"/>
        <v>145595.6125</v>
      </c>
      <c r="N555" s="181">
        <v>0</v>
      </c>
      <c r="O555" s="181">
        <v>0</v>
      </c>
      <c r="P555" s="181">
        <v>0</v>
      </c>
      <c r="Q555" s="181">
        <v>0</v>
      </c>
      <c r="R555" s="181">
        <v>0</v>
      </c>
      <c r="S555" s="182">
        <f t="shared" si="33"/>
        <v>145595.6125</v>
      </c>
      <c r="T555" s="183"/>
    </row>
    <row r="556" spans="1:20" ht="11.25">
      <c r="A556" s="175" t="s">
        <v>270</v>
      </c>
      <c r="B556" s="175">
        <v>4</v>
      </c>
      <c r="C556" s="176" t="s">
        <v>355</v>
      </c>
      <c r="D556" s="176" t="s">
        <v>322</v>
      </c>
      <c r="E556" s="186" t="s">
        <v>375</v>
      </c>
      <c r="F556" s="186"/>
      <c r="G556" s="176" t="s">
        <v>324</v>
      </c>
      <c r="H556" s="178" t="s">
        <v>325</v>
      </c>
      <c r="I556" s="175" t="s">
        <v>231</v>
      </c>
      <c r="J556" s="179" t="s">
        <v>352</v>
      </c>
      <c r="K556" s="179"/>
      <c r="L556" s="176" t="s">
        <v>376</v>
      </c>
      <c r="M556" s="180">
        <f t="shared" si="34"/>
        <v>149235.50281249997</v>
      </c>
      <c r="N556" s="181">
        <v>0</v>
      </c>
      <c r="O556" s="181">
        <v>0</v>
      </c>
      <c r="P556" s="181">
        <v>0</v>
      </c>
      <c r="Q556" s="181">
        <v>0</v>
      </c>
      <c r="R556" s="181">
        <v>0</v>
      </c>
      <c r="S556" s="182">
        <f t="shared" si="33"/>
        <v>149235.50281249997</v>
      </c>
      <c r="T556" s="183"/>
    </row>
    <row r="557" spans="1:20" ht="11.25">
      <c r="A557" s="175" t="s">
        <v>271</v>
      </c>
      <c r="B557" s="175">
        <v>5</v>
      </c>
      <c r="C557" s="176" t="s">
        <v>355</v>
      </c>
      <c r="D557" s="176" t="s">
        <v>322</v>
      </c>
      <c r="E557" s="186" t="s">
        <v>375</v>
      </c>
      <c r="F557" s="186"/>
      <c r="G557" s="176" t="s">
        <v>324</v>
      </c>
      <c r="H557" s="178" t="s">
        <v>325</v>
      </c>
      <c r="I557" s="175" t="s">
        <v>231</v>
      </c>
      <c r="J557" s="179" t="s">
        <v>352</v>
      </c>
      <c r="K557" s="179"/>
      <c r="L557" s="176" t="s">
        <v>376</v>
      </c>
      <c r="M557" s="180">
        <f t="shared" si="34"/>
        <v>152966.39038281245</v>
      </c>
      <c r="N557" s="181">
        <v>0</v>
      </c>
      <c r="O557" s="181">
        <v>0</v>
      </c>
      <c r="P557" s="181">
        <v>0</v>
      </c>
      <c r="Q557" s="181">
        <v>0</v>
      </c>
      <c r="R557" s="181">
        <v>0</v>
      </c>
      <c r="S557" s="182">
        <f t="shared" si="33"/>
        <v>152966.39038281245</v>
      </c>
      <c r="T557" s="183"/>
    </row>
    <row r="558" spans="1:20" ht="11.25">
      <c r="A558" s="175" t="s">
        <v>272</v>
      </c>
      <c r="B558" s="175">
        <v>6</v>
      </c>
      <c r="C558" s="176" t="s">
        <v>355</v>
      </c>
      <c r="D558" s="176" t="s">
        <v>322</v>
      </c>
      <c r="E558" s="186" t="s">
        <v>375</v>
      </c>
      <c r="F558" s="186"/>
      <c r="G558" s="176" t="s">
        <v>324</v>
      </c>
      <c r="H558" s="178" t="s">
        <v>325</v>
      </c>
      <c r="I558" s="175" t="s">
        <v>231</v>
      </c>
      <c r="J558" s="179" t="s">
        <v>352</v>
      </c>
      <c r="K558" s="179"/>
      <c r="L558" s="176" t="s">
        <v>376</v>
      </c>
      <c r="M558" s="180">
        <f t="shared" si="34"/>
        <v>156790.55014238274</v>
      </c>
      <c r="N558" s="181">
        <v>0</v>
      </c>
      <c r="O558" s="181">
        <v>0</v>
      </c>
      <c r="P558" s="181">
        <v>0</v>
      </c>
      <c r="Q558" s="181">
        <v>0</v>
      </c>
      <c r="R558" s="181">
        <v>0</v>
      </c>
      <c r="S558" s="182">
        <f t="shared" si="33"/>
        <v>156790.55014238274</v>
      </c>
      <c r="T558" s="183"/>
    </row>
    <row r="559" spans="1:20" ht="11.25">
      <c r="A559" s="175" t="s">
        <v>273</v>
      </c>
      <c r="B559" s="175">
        <v>7</v>
      </c>
      <c r="C559" s="176" t="s">
        <v>355</v>
      </c>
      <c r="D559" s="176" t="s">
        <v>322</v>
      </c>
      <c r="E559" s="186" t="s">
        <v>375</v>
      </c>
      <c r="F559" s="186"/>
      <c r="G559" s="176" t="s">
        <v>324</v>
      </c>
      <c r="H559" s="178" t="s">
        <v>325</v>
      </c>
      <c r="I559" s="175" t="s">
        <v>231</v>
      </c>
      <c r="J559" s="179" t="s">
        <v>352</v>
      </c>
      <c r="K559" s="179"/>
      <c r="L559" s="176" t="s">
        <v>376</v>
      </c>
      <c r="M559" s="180">
        <f t="shared" si="34"/>
        <v>160710.3138959423</v>
      </c>
      <c r="N559" s="181">
        <v>0</v>
      </c>
      <c r="O559" s="181">
        <v>0</v>
      </c>
      <c r="P559" s="181">
        <v>0</v>
      </c>
      <c r="Q559" s="181">
        <v>0</v>
      </c>
      <c r="R559" s="181">
        <v>0</v>
      </c>
      <c r="S559" s="182">
        <f t="shared" si="33"/>
        <v>160710.3138959423</v>
      </c>
      <c r="T559" s="183"/>
    </row>
    <row r="560" spans="1:20" ht="11.25">
      <c r="A560" s="175" t="s">
        <v>274</v>
      </c>
      <c r="B560" s="175">
        <v>8</v>
      </c>
      <c r="C560" s="176" t="s">
        <v>355</v>
      </c>
      <c r="D560" s="176" t="s">
        <v>322</v>
      </c>
      <c r="E560" s="186" t="s">
        <v>375</v>
      </c>
      <c r="F560" s="186"/>
      <c r="G560" s="176" t="s">
        <v>324</v>
      </c>
      <c r="H560" s="178" t="s">
        <v>325</v>
      </c>
      <c r="I560" s="175" t="s">
        <v>231</v>
      </c>
      <c r="J560" s="179" t="s">
        <v>352</v>
      </c>
      <c r="K560" s="179"/>
      <c r="L560" s="176" t="s">
        <v>376</v>
      </c>
      <c r="M560" s="180">
        <f t="shared" si="34"/>
        <v>164728.07174334084</v>
      </c>
      <c r="N560" s="181">
        <v>0</v>
      </c>
      <c r="O560" s="181">
        <v>0</v>
      </c>
      <c r="P560" s="181">
        <v>0</v>
      </c>
      <c r="Q560" s="181">
        <v>0</v>
      </c>
      <c r="R560" s="181">
        <v>0</v>
      </c>
      <c r="S560" s="182">
        <f t="shared" si="33"/>
        <v>164728.07174334084</v>
      </c>
      <c r="T560" s="183"/>
    </row>
    <row r="561" spans="1:20" ht="11.25">
      <c r="A561" s="175" t="s">
        <v>275</v>
      </c>
      <c r="B561" s="175">
        <v>9</v>
      </c>
      <c r="C561" s="176" t="s">
        <v>355</v>
      </c>
      <c r="D561" s="176" t="s">
        <v>322</v>
      </c>
      <c r="E561" s="186" t="s">
        <v>375</v>
      </c>
      <c r="F561" s="186"/>
      <c r="G561" s="176" t="s">
        <v>324</v>
      </c>
      <c r="H561" s="178" t="s">
        <v>325</v>
      </c>
      <c r="I561" s="175" t="s">
        <v>231</v>
      </c>
      <c r="J561" s="179" t="s">
        <v>352</v>
      </c>
      <c r="K561" s="179"/>
      <c r="L561" s="176" t="s">
        <v>376</v>
      </c>
      <c r="M561" s="180">
        <f t="shared" si="34"/>
        <v>168846.27353692436</v>
      </c>
      <c r="N561" s="181">
        <v>0</v>
      </c>
      <c r="O561" s="181">
        <v>0</v>
      </c>
      <c r="P561" s="181">
        <v>0</v>
      </c>
      <c r="Q561" s="181">
        <v>0</v>
      </c>
      <c r="R561" s="181">
        <v>0</v>
      </c>
      <c r="S561" s="182">
        <f t="shared" si="33"/>
        <v>168846.27353692436</v>
      </c>
      <c r="T561" s="183"/>
    </row>
    <row r="562" spans="1:20" ht="11.25">
      <c r="A562" s="175" t="s">
        <v>276</v>
      </c>
      <c r="B562" s="175">
        <v>10</v>
      </c>
      <c r="C562" s="176" t="s">
        <v>355</v>
      </c>
      <c r="D562" s="176" t="s">
        <v>322</v>
      </c>
      <c r="E562" s="186" t="s">
        <v>375</v>
      </c>
      <c r="F562" s="186"/>
      <c r="G562" s="176" t="s">
        <v>324</v>
      </c>
      <c r="H562" s="178" t="s">
        <v>325</v>
      </c>
      <c r="I562" s="175" t="s">
        <v>231</v>
      </c>
      <c r="J562" s="179" t="s">
        <v>352</v>
      </c>
      <c r="K562" s="179"/>
      <c r="L562" s="176" t="s">
        <v>376</v>
      </c>
      <c r="M562" s="180">
        <f t="shared" si="34"/>
        <v>173067.43037534747</v>
      </c>
      <c r="N562" s="181">
        <v>0</v>
      </c>
      <c r="O562" s="181">
        <v>0</v>
      </c>
      <c r="P562" s="181">
        <v>0</v>
      </c>
      <c r="Q562" s="181">
        <v>0</v>
      </c>
      <c r="R562" s="181">
        <v>0</v>
      </c>
      <c r="S562" s="182">
        <f t="shared" si="33"/>
        <v>173067.43037534747</v>
      </c>
      <c r="T562" s="183"/>
    </row>
    <row r="563" spans="1:20" ht="11.25">
      <c r="A563" s="175" t="s">
        <v>277</v>
      </c>
      <c r="B563" s="175">
        <v>11</v>
      </c>
      <c r="C563" s="176" t="s">
        <v>355</v>
      </c>
      <c r="D563" s="176" t="s">
        <v>322</v>
      </c>
      <c r="E563" s="186" t="s">
        <v>375</v>
      </c>
      <c r="F563" s="186"/>
      <c r="G563" s="176" t="s">
        <v>324</v>
      </c>
      <c r="H563" s="178" t="s">
        <v>325</v>
      </c>
      <c r="I563" s="175" t="s">
        <v>231</v>
      </c>
      <c r="J563" s="179" t="s">
        <v>352</v>
      </c>
      <c r="K563" s="179"/>
      <c r="L563" s="176" t="s">
        <v>376</v>
      </c>
      <c r="M563" s="180">
        <f t="shared" si="34"/>
        <v>177394.11613473113</v>
      </c>
      <c r="N563" s="181">
        <v>0</v>
      </c>
      <c r="O563" s="181">
        <v>0</v>
      </c>
      <c r="P563" s="181">
        <v>0</v>
      </c>
      <c r="Q563" s="181">
        <v>0</v>
      </c>
      <c r="R563" s="181">
        <v>0</v>
      </c>
      <c r="S563" s="182">
        <f t="shared" si="33"/>
        <v>177394.11613473113</v>
      </c>
      <c r="T563" s="183"/>
    </row>
    <row r="564" spans="1:20" ht="11.25">
      <c r="A564" s="175" t="s">
        <v>278</v>
      </c>
      <c r="B564" s="175">
        <v>12</v>
      </c>
      <c r="C564" s="176" t="s">
        <v>355</v>
      </c>
      <c r="D564" s="176" t="s">
        <v>322</v>
      </c>
      <c r="E564" s="186" t="s">
        <v>375</v>
      </c>
      <c r="F564" s="186"/>
      <c r="G564" s="176" t="s">
        <v>324</v>
      </c>
      <c r="H564" s="178" t="s">
        <v>325</v>
      </c>
      <c r="I564" s="175" t="s">
        <v>231</v>
      </c>
      <c r="J564" s="179" t="s">
        <v>352</v>
      </c>
      <c r="K564" s="179"/>
      <c r="L564" s="176" t="s">
        <v>376</v>
      </c>
      <c r="M564" s="180">
        <f t="shared" si="34"/>
        <v>181828.9690380994</v>
      </c>
      <c r="N564" s="181">
        <v>0</v>
      </c>
      <c r="O564" s="181">
        <v>0</v>
      </c>
      <c r="P564" s="181">
        <v>0</v>
      </c>
      <c r="Q564" s="181">
        <v>0</v>
      </c>
      <c r="R564" s="181">
        <v>0</v>
      </c>
      <c r="S564" s="182">
        <f t="shared" si="33"/>
        <v>181828.9690380994</v>
      </c>
      <c r="T564" s="183"/>
    </row>
    <row r="565" spans="1:20" ht="11.25">
      <c r="A565" s="175" t="s">
        <v>279</v>
      </c>
      <c r="B565" s="175">
        <v>13</v>
      </c>
      <c r="C565" s="176" t="s">
        <v>355</v>
      </c>
      <c r="D565" s="176" t="s">
        <v>322</v>
      </c>
      <c r="E565" s="186" t="s">
        <v>375</v>
      </c>
      <c r="F565" s="186"/>
      <c r="G565" s="176" t="s">
        <v>324</v>
      </c>
      <c r="H565" s="178" t="s">
        <v>325</v>
      </c>
      <c r="I565" s="175" t="s">
        <v>231</v>
      </c>
      <c r="J565" s="179" t="s">
        <v>352</v>
      </c>
      <c r="K565" s="179"/>
      <c r="L565" s="176" t="s">
        <v>376</v>
      </c>
      <c r="M565" s="180">
        <f t="shared" si="34"/>
        <v>186374.69326405186</v>
      </c>
      <c r="N565" s="181">
        <v>0</v>
      </c>
      <c r="O565" s="181">
        <v>0</v>
      </c>
      <c r="P565" s="181">
        <v>0</v>
      </c>
      <c r="Q565" s="181">
        <v>0</v>
      </c>
      <c r="R565" s="181">
        <v>0</v>
      </c>
      <c r="S565" s="182">
        <f t="shared" si="33"/>
        <v>186374.69326405186</v>
      </c>
      <c r="T565" s="183"/>
    </row>
    <row r="566" spans="1:20" ht="11.25">
      <c r="A566" s="175" t="s">
        <v>280</v>
      </c>
      <c r="B566" s="175">
        <v>14</v>
      </c>
      <c r="C566" s="176" t="s">
        <v>355</v>
      </c>
      <c r="D566" s="176" t="s">
        <v>322</v>
      </c>
      <c r="E566" s="186" t="s">
        <v>375</v>
      </c>
      <c r="F566" s="186"/>
      <c r="G566" s="176" t="s">
        <v>324</v>
      </c>
      <c r="H566" s="178" t="s">
        <v>325</v>
      </c>
      <c r="I566" s="175" t="s">
        <v>231</v>
      </c>
      <c r="J566" s="179" t="s">
        <v>352</v>
      </c>
      <c r="K566" s="179"/>
      <c r="L566" s="176" t="s">
        <v>376</v>
      </c>
      <c r="M566" s="180">
        <f t="shared" si="34"/>
        <v>191034.06059565314</v>
      </c>
      <c r="N566" s="181">
        <v>0</v>
      </c>
      <c r="O566" s="181">
        <v>0</v>
      </c>
      <c r="P566" s="181">
        <v>0</v>
      </c>
      <c r="Q566" s="181">
        <v>0</v>
      </c>
      <c r="R566" s="181">
        <v>0</v>
      </c>
      <c r="S566" s="182">
        <f t="shared" si="33"/>
        <v>191034.06059565314</v>
      </c>
      <c r="T566" s="183"/>
    </row>
    <row r="567" spans="1:20" ht="11.25">
      <c r="A567" s="175" t="s">
        <v>281</v>
      </c>
      <c r="B567" s="175">
        <v>15</v>
      </c>
      <c r="C567" s="176" t="s">
        <v>355</v>
      </c>
      <c r="D567" s="176" t="s">
        <v>322</v>
      </c>
      <c r="E567" s="186" t="s">
        <v>375</v>
      </c>
      <c r="F567" s="186"/>
      <c r="G567" s="176" t="s">
        <v>324</v>
      </c>
      <c r="H567" s="178" t="s">
        <v>325</v>
      </c>
      <c r="I567" s="175" t="s">
        <v>231</v>
      </c>
      <c r="J567" s="179" t="s">
        <v>352</v>
      </c>
      <c r="K567" s="179"/>
      <c r="L567" s="176" t="s">
        <v>376</v>
      </c>
      <c r="M567" s="180">
        <f t="shared" si="34"/>
        <v>195809.91211054445</v>
      </c>
      <c r="N567" s="181">
        <v>0</v>
      </c>
      <c r="O567" s="181">
        <v>0</v>
      </c>
      <c r="P567" s="181">
        <v>0</v>
      </c>
      <c r="Q567" s="181">
        <v>0</v>
      </c>
      <c r="R567" s="181">
        <v>0</v>
      </c>
      <c r="S567" s="182">
        <f t="shared" si="33"/>
        <v>195809.91211054445</v>
      </c>
      <c r="T567" s="183"/>
    </row>
    <row r="568" spans="1:20" ht="11.25">
      <c r="A568" s="175" t="s">
        <v>282</v>
      </c>
      <c r="B568" s="175">
        <v>16</v>
      </c>
      <c r="C568" s="176" t="s">
        <v>355</v>
      </c>
      <c r="D568" s="176" t="s">
        <v>322</v>
      </c>
      <c r="E568" s="186" t="s">
        <v>375</v>
      </c>
      <c r="F568" s="186"/>
      <c r="G568" s="176" t="s">
        <v>324</v>
      </c>
      <c r="H568" s="178" t="s">
        <v>325</v>
      </c>
      <c r="I568" s="175" t="s">
        <v>231</v>
      </c>
      <c r="J568" s="179" t="s">
        <v>352</v>
      </c>
      <c r="K568" s="179"/>
      <c r="L568" s="176" t="s">
        <v>376</v>
      </c>
      <c r="M568" s="180">
        <f t="shared" si="34"/>
        <v>200705.15991330805</v>
      </c>
      <c r="N568" s="181">
        <v>0</v>
      </c>
      <c r="O568" s="181">
        <v>0</v>
      </c>
      <c r="P568" s="181">
        <v>0</v>
      </c>
      <c r="Q568" s="181">
        <v>0</v>
      </c>
      <c r="R568" s="181">
        <v>0</v>
      </c>
      <c r="S568" s="182">
        <f t="shared" si="33"/>
        <v>200705.15991330805</v>
      </c>
      <c r="T568" s="183"/>
    </row>
    <row r="569" spans="1:20" ht="11.25">
      <c r="A569" s="175" t="s">
        <v>283</v>
      </c>
      <c r="B569" s="175">
        <v>17</v>
      </c>
      <c r="C569" s="176" t="s">
        <v>355</v>
      </c>
      <c r="D569" s="176" t="s">
        <v>322</v>
      </c>
      <c r="E569" s="186" t="s">
        <v>375</v>
      </c>
      <c r="F569" s="186"/>
      <c r="G569" s="176" t="s">
        <v>324</v>
      </c>
      <c r="H569" s="178" t="s">
        <v>325</v>
      </c>
      <c r="I569" s="175" t="s">
        <v>231</v>
      </c>
      <c r="J569" s="179" t="s">
        <v>352</v>
      </c>
      <c r="K569" s="179"/>
      <c r="L569" s="176" t="s">
        <v>376</v>
      </c>
      <c r="M569" s="180">
        <f t="shared" si="34"/>
        <v>205722.78891114073</v>
      </c>
      <c r="N569" s="181">
        <v>0</v>
      </c>
      <c r="O569" s="181">
        <v>0</v>
      </c>
      <c r="P569" s="181">
        <v>0</v>
      </c>
      <c r="Q569" s="181">
        <v>0</v>
      </c>
      <c r="R569" s="181">
        <v>0</v>
      </c>
      <c r="S569" s="182">
        <f t="shared" si="33"/>
        <v>205722.78891114073</v>
      </c>
      <c r="T569" s="183"/>
    </row>
    <row r="570" spans="1:20" ht="11.25">
      <c r="A570" s="175" t="s">
        <v>284</v>
      </c>
      <c r="B570" s="175">
        <v>18</v>
      </c>
      <c r="C570" s="176" t="s">
        <v>355</v>
      </c>
      <c r="D570" s="176" t="s">
        <v>322</v>
      </c>
      <c r="E570" s="186" t="s">
        <v>375</v>
      </c>
      <c r="F570" s="186"/>
      <c r="G570" s="176" t="s">
        <v>324</v>
      </c>
      <c r="H570" s="178" t="s">
        <v>325</v>
      </c>
      <c r="I570" s="175" t="s">
        <v>231</v>
      </c>
      <c r="J570" s="179" t="s">
        <v>352</v>
      </c>
      <c r="K570" s="179"/>
      <c r="L570" s="176" t="s">
        <v>376</v>
      </c>
      <c r="M570" s="180">
        <f t="shared" si="34"/>
        <v>210865.85863391924</v>
      </c>
      <c r="N570" s="181">
        <v>0</v>
      </c>
      <c r="O570" s="181">
        <v>0</v>
      </c>
      <c r="P570" s="181">
        <v>0</v>
      </c>
      <c r="Q570" s="181">
        <v>0</v>
      </c>
      <c r="R570" s="181">
        <v>0</v>
      </c>
      <c r="S570" s="182">
        <f t="shared" si="33"/>
        <v>210865.85863391924</v>
      </c>
      <c r="T570" s="183"/>
    </row>
    <row r="571" spans="1:20" ht="11.25">
      <c r="A571" s="175" t="s">
        <v>285</v>
      </c>
      <c r="B571" s="175">
        <v>19</v>
      </c>
      <c r="C571" s="176" t="s">
        <v>355</v>
      </c>
      <c r="D571" s="176" t="s">
        <v>322</v>
      </c>
      <c r="E571" s="186" t="s">
        <v>375</v>
      </c>
      <c r="F571" s="186"/>
      <c r="G571" s="176" t="s">
        <v>324</v>
      </c>
      <c r="H571" s="178" t="s">
        <v>325</v>
      </c>
      <c r="I571" s="175" t="s">
        <v>231</v>
      </c>
      <c r="J571" s="179" t="s">
        <v>352</v>
      </c>
      <c r="K571" s="179"/>
      <c r="L571" s="176" t="s">
        <v>376</v>
      </c>
      <c r="M571" s="180">
        <f t="shared" si="34"/>
        <v>216137.5050997672</v>
      </c>
      <c r="N571" s="181">
        <v>0</v>
      </c>
      <c r="O571" s="181">
        <v>0</v>
      </c>
      <c r="P571" s="181">
        <v>0</v>
      </c>
      <c r="Q571" s="181">
        <v>0</v>
      </c>
      <c r="R571" s="181">
        <v>0</v>
      </c>
      <c r="S571" s="182">
        <f t="shared" si="33"/>
        <v>216137.5050997672</v>
      </c>
      <c r="T571" s="183"/>
    </row>
    <row r="572" spans="1:20" ht="11.25">
      <c r="A572" s="175" t="s">
        <v>303</v>
      </c>
      <c r="B572" s="175">
        <v>20</v>
      </c>
      <c r="C572" s="176" t="s">
        <v>355</v>
      </c>
      <c r="D572" s="176" t="s">
        <v>322</v>
      </c>
      <c r="E572" s="186" t="s">
        <v>375</v>
      </c>
      <c r="F572" s="186"/>
      <c r="G572" s="176" t="s">
        <v>324</v>
      </c>
      <c r="H572" s="178" t="s">
        <v>325</v>
      </c>
      <c r="I572" s="175" t="s">
        <v>231</v>
      </c>
      <c r="J572" s="179" t="s">
        <v>352</v>
      </c>
      <c r="K572" s="179"/>
      <c r="L572" s="176" t="s">
        <v>376</v>
      </c>
      <c r="M572" s="180">
        <f t="shared" si="34"/>
        <v>221540.94272726137</v>
      </c>
      <c r="N572" s="181">
        <v>0</v>
      </c>
      <c r="O572" s="181">
        <v>0</v>
      </c>
      <c r="P572" s="181">
        <v>0</v>
      </c>
      <c r="Q572" s="181">
        <v>0</v>
      </c>
      <c r="R572" s="181">
        <v>0</v>
      </c>
      <c r="S572" s="182">
        <f t="shared" si="33"/>
        <v>221540.94272726137</v>
      </c>
      <c r="T572" s="183"/>
    </row>
    <row r="573" spans="1:20" ht="11.25">
      <c r="A573" s="175" t="s">
        <v>265</v>
      </c>
      <c r="B573" s="175">
        <v>0</v>
      </c>
      <c r="C573" s="176" t="s">
        <v>469</v>
      </c>
      <c r="D573" s="176" t="s">
        <v>377</v>
      </c>
      <c r="E573" s="177" t="s">
        <v>323</v>
      </c>
      <c r="F573" s="177"/>
      <c r="G573" s="176" t="s">
        <v>324</v>
      </c>
      <c r="H573" s="178" t="s">
        <v>325</v>
      </c>
      <c r="I573" s="175" t="s">
        <v>231</v>
      </c>
      <c r="J573" s="179" t="s">
        <v>326</v>
      </c>
      <c r="K573" s="179"/>
      <c r="L573" s="176" t="s">
        <v>378</v>
      </c>
      <c r="M573" s="180">
        <v>64896</v>
      </c>
      <c r="N573" s="181">
        <v>0</v>
      </c>
      <c r="O573" s="181">
        <v>0</v>
      </c>
      <c r="P573" s="181">
        <v>0</v>
      </c>
      <c r="Q573" s="181">
        <v>0</v>
      </c>
      <c r="R573" s="181">
        <v>0</v>
      </c>
      <c r="S573" s="182">
        <f t="shared" si="33"/>
        <v>64896</v>
      </c>
      <c r="T573" s="183"/>
    </row>
    <row r="574" spans="1:20" ht="11.25">
      <c r="A574" s="175" t="s">
        <v>267</v>
      </c>
      <c r="B574" s="175">
        <v>1</v>
      </c>
      <c r="C574" s="176" t="s">
        <v>469</v>
      </c>
      <c r="D574" s="176" t="s">
        <v>377</v>
      </c>
      <c r="E574" s="177" t="s">
        <v>323</v>
      </c>
      <c r="F574" s="177"/>
      <c r="G574" s="176" t="s">
        <v>324</v>
      </c>
      <c r="H574" s="178" t="s">
        <v>325</v>
      </c>
      <c r="I574" s="175" t="s">
        <v>231</v>
      </c>
      <c r="J574" s="179" t="s">
        <v>352</v>
      </c>
      <c r="K574" s="179"/>
      <c r="L574" s="176" t="s">
        <v>378</v>
      </c>
      <c r="M574" s="180">
        <v>80000</v>
      </c>
      <c r="N574" s="181">
        <v>0</v>
      </c>
      <c r="O574" s="181">
        <v>0</v>
      </c>
      <c r="P574" s="181">
        <v>0</v>
      </c>
      <c r="Q574" s="181">
        <v>0</v>
      </c>
      <c r="R574" s="181">
        <v>0</v>
      </c>
      <c r="S574" s="182">
        <f t="shared" si="33"/>
        <v>80000</v>
      </c>
      <c r="T574" s="183"/>
    </row>
    <row r="575" spans="1:20" ht="11.25">
      <c r="A575" s="175" t="s">
        <v>268</v>
      </c>
      <c r="B575" s="175">
        <v>2</v>
      </c>
      <c r="C575" s="176" t="s">
        <v>469</v>
      </c>
      <c r="D575" s="176" t="s">
        <v>377</v>
      </c>
      <c r="E575" s="177" t="s">
        <v>323</v>
      </c>
      <c r="F575" s="177"/>
      <c r="G575" s="176" t="s">
        <v>324</v>
      </c>
      <c r="H575" s="178" t="s">
        <v>325</v>
      </c>
      <c r="I575" s="175" t="s">
        <v>231</v>
      </c>
      <c r="J575" s="179" t="s">
        <v>352</v>
      </c>
      <c r="K575" s="179"/>
      <c r="L575" s="176" t="s">
        <v>378</v>
      </c>
      <c r="M575" s="180">
        <f aca="true" t="shared" si="35" ref="M575:M593">IF(J575="Y",M574*(1+$C$4),IF(J575="I",M574*(1+$E$4),M574))</f>
        <v>82000</v>
      </c>
      <c r="N575" s="181">
        <v>0</v>
      </c>
      <c r="O575" s="181">
        <v>0</v>
      </c>
      <c r="P575" s="181">
        <v>0</v>
      </c>
      <c r="Q575" s="181">
        <v>0</v>
      </c>
      <c r="R575" s="181">
        <v>0</v>
      </c>
      <c r="S575" s="182">
        <f t="shared" si="33"/>
        <v>82000</v>
      </c>
      <c r="T575" s="183"/>
    </row>
    <row r="576" spans="1:20" ht="11.25">
      <c r="A576" s="175" t="s">
        <v>269</v>
      </c>
      <c r="B576" s="175">
        <v>3</v>
      </c>
      <c r="C576" s="176" t="s">
        <v>469</v>
      </c>
      <c r="D576" s="176" t="s">
        <v>377</v>
      </c>
      <c r="E576" s="177" t="s">
        <v>323</v>
      </c>
      <c r="F576" s="177"/>
      <c r="G576" s="176" t="s">
        <v>324</v>
      </c>
      <c r="H576" s="178" t="s">
        <v>325</v>
      </c>
      <c r="I576" s="175" t="s">
        <v>231</v>
      </c>
      <c r="J576" s="179" t="s">
        <v>352</v>
      </c>
      <c r="K576" s="179"/>
      <c r="L576" s="176" t="s">
        <v>378</v>
      </c>
      <c r="M576" s="180">
        <f t="shared" si="35"/>
        <v>84049.99999999999</v>
      </c>
      <c r="N576" s="181">
        <v>0</v>
      </c>
      <c r="O576" s="181">
        <v>0</v>
      </c>
      <c r="P576" s="181">
        <v>0</v>
      </c>
      <c r="Q576" s="181">
        <v>0</v>
      </c>
      <c r="R576" s="181">
        <v>0</v>
      </c>
      <c r="S576" s="182">
        <f t="shared" si="33"/>
        <v>84049.99999999999</v>
      </c>
      <c r="T576" s="183"/>
    </row>
    <row r="577" spans="1:20" ht="11.25">
      <c r="A577" s="175" t="s">
        <v>270</v>
      </c>
      <c r="B577" s="175">
        <v>4</v>
      </c>
      <c r="C577" s="176" t="s">
        <v>469</v>
      </c>
      <c r="D577" s="176" t="s">
        <v>377</v>
      </c>
      <c r="E577" s="177" t="s">
        <v>323</v>
      </c>
      <c r="F577" s="177"/>
      <c r="G577" s="176" t="s">
        <v>324</v>
      </c>
      <c r="H577" s="178" t="s">
        <v>325</v>
      </c>
      <c r="I577" s="175" t="s">
        <v>231</v>
      </c>
      <c r="J577" s="179" t="s">
        <v>352</v>
      </c>
      <c r="K577" s="179"/>
      <c r="L577" s="176" t="s">
        <v>378</v>
      </c>
      <c r="M577" s="180">
        <f t="shared" si="35"/>
        <v>86151.24999999997</v>
      </c>
      <c r="N577" s="181">
        <v>0</v>
      </c>
      <c r="O577" s="181">
        <v>0</v>
      </c>
      <c r="P577" s="181">
        <v>0</v>
      </c>
      <c r="Q577" s="181">
        <v>0</v>
      </c>
      <c r="R577" s="181">
        <v>0</v>
      </c>
      <c r="S577" s="182">
        <f t="shared" si="33"/>
        <v>86151.24999999997</v>
      </c>
      <c r="T577" s="183"/>
    </row>
    <row r="578" spans="1:20" ht="11.25">
      <c r="A578" s="175" t="s">
        <v>271</v>
      </c>
      <c r="B578" s="175">
        <v>5</v>
      </c>
      <c r="C578" s="176" t="s">
        <v>469</v>
      </c>
      <c r="D578" s="176" t="s">
        <v>377</v>
      </c>
      <c r="E578" s="177" t="s">
        <v>323</v>
      </c>
      <c r="F578" s="177"/>
      <c r="G578" s="176" t="s">
        <v>324</v>
      </c>
      <c r="H578" s="178" t="s">
        <v>325</v>
      </c>
      <c r="I578" s="175" t="s">
        <v>231</v>
      </c>
      <c r="J578" s="179" t="s">
        <v>352</v>
      </c>
      <c r="K578" s="179"/>
      <c r="L578" s="176" t="s">
        <v>378</v>
      </c>
      <c r="M578" s="180">
        <f t="shared" si="35"/>
        <v>88305.03124999996</v>
      </c>
      <c r="N578" s="181">
        <v>0</v>
      </c>
      <c r="O578" s="181">
        <v>0</v>
      </c>
      <c r="P578" s="181">
        <v>0</v>
      </c>
      <c r="Q578" s="181">
        <v>0</v>
      </c>
      <c r="R578" s="181">
        <v>0</v>
      </c>
      <c r="S578" s="182">
        <f t="shared" si="33"/>
        <v>88305.03124999996</v>
      </c>
      <c r="T578" s="183"/>
    </row>
    <row r="579" spans="1:20" ht="11.25">
      <c r="A579" s="175" t="s">
        <v>272</v>
      </c>
      <c r="B579" s="175">
        <v>6</v>
      </c>
      <c r="C579" s="176" t="s">
        <v>469</v>
      </c>
      <c r="D579" s="176" t="s">
        <v>377</v>
      </c>
      <c r="E579" s="177" t="s">
        <v>323</v>
      </c>
      <c r="F579" s="177"/>
      <c r="G579" s="176" t="s">
        <v>324</v>
      </c>
      <c r="H579" s="178" t="s">
        <v>325</v>
      </c>
      <c r="I579" s="175" t="s">
        <v>231</v>
      </c>
      <c r="J579" s="179" t="s">
        <v>352</v>
      </c>
      <c r="K579" s="179"/>
      <c r="L579" s="176" t="s">
        <v>378</v>
      </c>
      <c r="M579" s="180">
        <f t="shared" si="35"/>
        <v>90512.65703124995</v>
      </c>
      <c r="N579" s="181">
        <v>0</v>
      </c>
      <c r="O579" s="181">
        <v>0</v>
      </c>
      <c r="P579" s="181">
        <v>0</v>
      </c>
      <c r="Q579" s="181">
        <v>0</v>
      </c>
      <c r="R579" s="181">
        <v>0</v>
      </c>
      <c r="S579" s="182">
        <f t="shared" si="33"/>
        <v>90512.65703124995</v>
      </c>
      <c r="T579" s="183"/>
    </row>
    <row r="580" spans="1:20" ht="11.25">
      <c r="A580" s="175" t="s">
        <v>273</v>
      </c>
      <c r="B580" s="175">
        <v>7</v>
      </c>
      <c r="C580" s="176" t="s">
        <v>469</v>
      </c>
      <c r="D580" s="176" t="s">
        <v>377</v>
      </c>
      <c r="E580" s="177" t="s">
        <v>323</v>
      </c>
      <c r="F580" s="177"/>
      <c r="G580" s="176" t="s">
        <v>324</v>
      </c>
      <c r="H580" s="178" t="s">
        <v>325</v>
      </c>
      <c r="I580" s="175" t="s">
        <v>231</v>
      </c>
      <c r="J580" s="179" t="s">
        <v>352</v>
      </c>
      <c r="K580" s="179"/>
      <c r="L580" s="176" t="s">
        <v>378</v>
      </c>
      <c r="M580" s="180">
        <f t="shared" si="35"/>
        <v>92775.4734570312</v>
      </c>
      <c r="N580" s="181">
        <v>0</v>
      </c>
      <c r="O580" s="181">
        <v>0</v>
      </c>
      <c r="P580" s="181">
        <v>0</v>
      </c>
      <c r="Q580" s="181">
        <v>0</v>
      </c>
      <c r="R580" s="181">
        <v>0</v>
      </c>
      <c r="S580" s="182">
        <f t="shared" si="33"/>
        <v>92775.4734570312</v>
      </c>
      <c r="T580" s="183"/>
    </row>
    <row r="581" spans="1:20" ht="11.25">
      <c r="A581" s="175" t="s">
        <v>274</v>
      </c>
      <c r="B581" s="175">
        <v>8</v>
      </c>
      <c r="C581" s="176" t="s">
        <v>469</v>
      </c>
      <c r="D581" s="176" t="s">
        <v>377</v>
      </c>
      <c r="E581" s="177" t="s">
        <v>323</v>
      </c>
      <c r="F581" s="177"/>
      <c r="G581" s="176" t="s">
        <v>324</v>
      </c>
      <c r="H581" s="178" t="s">
        <v>325</v>
      </c>
      <c r="I581" s="175" t="s">
        <v>231</v>
      </c>
      <c r="J581" s="179" t="s">
        <v>352</v>
      </c>
      <c r="K581" s="179"/>
      <c r="L581" s="176" t="s">
        <v>378</v>
      </c>
      <c r="M581" s="180">
        <f t="shared" si="35"/>
        <v>95094.86029345696</v>
      </c>
      <c r="N581" s="181">
        <v>0</v>
      </c>
      <c r="O581" s="181">
        <v>0</v>
      </c>
      <c r="P581" s="181">
        <v>0</v>
      </c>
      <c r="Q581" s="181">
        <v>0</v>
      </c>
      <c r="R581" s="181">
        <v>0</v>
      </c>
      <c r="S581" s="182">
        <f t="shared" si="33"/>
        <v>95094.86029345696</v>
      </c>
      <c r="T581" s="183"/>
    </row>
    <row r="582" spans="1:20" ht="11.25">
      <c r="A582" s="175" t="s">
        <v>275</v>
      </c>
      <c r="B582" s="175">
        <v>9</v>
      </c>
      <c r="C582" s="176" t="s">
        <v>469</v>
      </c>
      <c r="D582" s="176" t="s">
        <v>377</v>
      </c>
      <c r="E582" s="177" t="s">
        <v>323</v>
      </c>
      <c r="F582" s="177"/>
      <c r="G582" s="176" t="s">
        <v>324</v>
      </c>
      <c r="H582" s="178" t="s">
        <v>325</v>
      </c>
      <c r="I582" s="175" t="s">
        <v>231</v>
      </c>
      <c r="J582" s="179" t="s">
        <v>352</v>
      </c>
      <c r="K582" s="179"/>
      <c r="L582" s="176" t="s">
        <v>378</v>
      </c>
      <c r="M582" s="180">
        <f t="shared" si="35"/>
        <v>97472.23180079338</v>
      </c>
      <c r="N582" s="181">
        <v>0</v>
      </c>
      <c r="O582" s="181">
        <v>0</v>
      </c>
      <c r="P582" s="181">
        <v>0</v>
      </c>
      <c r="Q582" s="181">
        <v>0</v>
      </c>
      <c r="R582" s="181">
        <v>0</v>
      </c>
      <c r="S582" s="182">
        <f t="shared" si="33"/>
        <v>97472.23180079338</v>
      </c>
      <c r="T582" s="183"/>
    </row>
    <row r="583" spans="1:20" ht="11.25">
      <c r="A583" s="175" t="s">
        <v>276</v>
      </c>
      <c r="B583" s="175">
        <v>10</v>
      </c>
      <c r="C583" s="176" t="s">
        <v>469</v>
      </c>
      <c r="D583" s="176" t="s">
        <v>377</v>
      </c>
      <c r="E583" s="177" t="s">
        <v>323</v>
      </c>
      <c r="F583" s="177"/>
      <c r="G583" s="176" t="s">
        <v>324</v>
      </c>
      <c r="H583" s="178" t="s">
        <v>325</v>
      </c>
      <c r="I583" s="175" t="s">
        <v>231</v>
      </c>
      <c r="J583" s="179" t="s">
        <v>352</v>
      </c>
      <c r="K583" s="179"/>
      <c r="L583" s="176" t="s">
        <v>378</v>
      </c>
      <c r="M583" s="180">
        <f t="shared" si="35"/>
        <v>99909.0375958132</v>
      </c>
      <c r="N583" s="181">
        <v>0</v>
      </c>
      <c r="O583" s="181">
        <v>0</v>
      </c>
      <c r="P583" s="181">
        <v>0</v>
      </c>
      <c r="Q583" s="181">
        <v>0</v>
      </c>
      <c r="R583" s="181">
        <v>0</v>
      </c>
      <c r="S583" s="182">
        <f t="shared" si="33"/>
        <v>99909.0375958132</v>
      </c>
      <c r="T583" s="183"/>
    </row>
    <row r="584" spans="1:20" ht="11.25">
      <c r="A584" s="175" t="s">
        <v>277</v>
      </c>
      <c r="B584" s="175">
        <v>11</v>
      </c>
      <c r="C584" s="176" t="s">
        <v>469</v>
      </c>
      <c r="D584" s="176" t="s">
        <v>377</v>
      </c>
      <c r="E584" s="177" t="s">
        <v>323</v>
      </c>
      <c r="F584" s="177"/>
      <c r="G584" s="176" t="s">
        <v>324</v>
      </c>
      <c r="H584" s="178" t="s">
        <v>325</v>
      </c>
      <c r="I584" s="175" t="s">
        <v>231</v>
      </c>
      <c r="J584" s="179" t="s">
        <v>352</v>
      </c>
      <c r="K584" s="179"/>
      <c r="L584" s="176" t="s">
        <v>378</v>
      </c>
      <c r="M584" s="180">
        <f t="shared" si="35"/>
        <v>102406.76353570852</v>
      </c>
      <c r="N584" s="181">
        <v>0</v>
      </c>
      <c r="O584" s="181">
        <v>0</v>
      </c>
      <c r="P584" s="181">
        <v>0</v>
      </c>
      <c r="Q584" s="181">
        <v>0</v>
      </c>
      <c r="R584" s="181">
        <v>0</v>
      </c>
      <c r="S584" s="182">
        <f t="shared" si="33"/>
        <v>102406.76353570852</v>
      </c>
      <c r="T584" s="183"/>
    </row>
    <row r="585" spans="1:20" ht="11.25">
      <c r="A585" s="175" t="s">
        <v>278</v>
      </c>
      <c r="B585" s="175">
        <v>12</v>
      </c>
      <c r="C585" s="176" t="s">
        <v>469</v>
      </c>
      <c r="D585" s="176" t="s">
        <v>377</v>
      </c>
      <c r="E585" s="177" t="s">
        <v>323</v>
      </c>
      <c r="F585" s="177"/>
      <c r="G585" s="176" t="s">
        <v>324</v>
      </c>
      <c r="H585" s="178" t="s">
        <v>325</v>
      </c>
      <c r="I585" s="175" t="s">
        <v>231</v>
      </c>
      <c r="J585" s="179" t="s">
        <v>352</v>
      </c>
      <c r="K585" s="179"/>
      <c r="L585" s="176" t="s">
        <v>378</v>
      </c>
      <c r="M585" s="180">
        <f t="shared" si="35"/>
        <v>104966.93262410123</v>
      </c>
      <c r="N585" s="181">
        <v>0</v>
      </c>
      <c r="O585" s="181">
        <v>0</v>
      </c>
      <c r="P585" s="181">
        <v>0</v>
      </c>
      <c r="Q585" s="181">
        <v>0</v>
      </c>
      <c r="R585" s="181">
        <v>0</v>
      </c>
      <c r="S585" s="182">
        <f t="shared" si="33"/>
        <v>104966.93262410123</v>
      </c>
      <c r="T585" s="183"/>
    </row>
    <row r="586" spans="1:20" ht="11.25">
      <c r="A586" s="175" t="s">
        <v>279</v>
      </c>
      <c r="B586" s="175">
        <v>13</v>
      </c>
      <c r="C586" s="176" t="s">
        <v>469</v>
      </c>
      <c r="D586" s="176" t="s">
        <v>377</v>
      </c>
      <c r="E586" s="177" t="s">
        <v>323</v>
      </c>
      <c r="F586" s="177"/>
      <c r="G586" s="176" t="s">
        <v>324</v>
      </c>
      <c r="H586" s="178" t="s">
        <v>325</v>
      </c>
      <c r="I586" s="175" t="s">
        <v>231</v>
      </c>
      <c r="J586" s="179" t="s">
        <v>352</v>
      </c>
      <c r="K586" s="179"/>
      <c r="L586" s="176" t="s">
        <v>378</v>
      </c>
      <c r="M586" s="180">
        <f t="shared" si="35"/>
        <v>107591.10593970375</v>
      </c>
      <c r="N586" s="181">
        <v>0</v>
      </c>
      <c r="O586" s="181">
        <v>0</v>
      </c>
      <c r="P586" s="181">
        <v>0</v>
      </c>
      <c r="Q586" s="181">
        <v>0</v>
      </c>
      <c r="R586" s="181">
        <v>0</v>
      </c>
      <c r="S586" s="182">
        <f t="shared" si="33"/>
        <v>107591.10593970375</v>
      </c>
      <c r="T586" s="183"/>
    </row>
    <row r="587" spans="1:20" ht="11.25">
      <c r="A587" s="175" t="s">
        <v>280</v>
      </c>
      <c r="B587" s="175">
        <v>14</v>
      </c>
      <c r="C587" s="176" t="s">
        <v>469</v>
      </c>
      <c r="D587" s="176" t="s">
        <v>377</v>
      </c>
      <c r="E587" s="177" t="s">
        <v>323</v>
      </c>
      <c r="F587" s="177"/>
      <c r="G587" s="176" t="s">
        <v>324</v>
      </c>
      <c r="H587" s="178" t="s">
        <v>325</v>
      </c>
      <c r="I587" s="175" t="s">
        <v>231</v>
      </c>
      <c r="J587" s="179" t="s">
        <v>352</v>
      </c>
      <c r="K587" s="179"/>
      <c r="L587" s="176" t="s">
        <v>378</v>
      </c>
      <c r="M587" s="180">
        <f t="shared" si="35"/>
        <v>110280.88358819633</v>
      </c>
      <c r="N587" s="181">
        <v>0</v>
      </c>
      <c r="O587" s="181">
        <v>0</v>
      </c>
      <c r="P587" s="181">
        <v>0</v>
      </c>
      <c r="Q587" s="181">
        <v>0</v>
      </c>
      <c r="R587" s="181">
        <v>0</v>
      </c>
      <c r="S587" s="182">
        <f t="shared" si="33"/>
        <v>110280.88358819633</v>
      </c>
      <c r="T587" s="183"/>
    </row>
    <row r="588" spans="1:20" ht="11.25">
      <c r="A588" s="175" t="s">
        <v>281</v>
      </c>
      <c r="B588" s="175">
        <v>15</v>
      </c>
      <c r="C588" s="176" t="s">
        <v>469</v>
      </c>
      <c r="D588" s="176" t="s">
        <v>377</v>
      </c>
      <c r="E588" s="177" t="s">
        <v>323</v>
      </c>
      <c r="F588" s="177"/>
      <c r="G588" s="176" t="s">
        <v>324</v>
      </c>
      <c r="H588" s="178" t="s">
        <v>325</v>
      </c>
      <c r="I588" s="175" t="s">
        <v>231</v>
      </c>
      <c r="J588" s="179" t="s">
        <v>352</v>
      </c>
      <c r="K588" s="179"/>
      <c r="L588" s="176" t="s">
        <v>378</v>
      </c>
      <c r="M588" s="180">
        <f t="shared" si="35"/>
        <v>113037.90567790123</v>
      </c>
      <c r="N588" s="181">
        <v>0</v>
      </c>
      <c r="O588" s="181">
        <v>0</v>
      </c>
      <c r="P588" s="181">
        <v>0</v>
      </c>
      <c r="Q588" s="181">
        <v>0</v>
      </c>
      <c r="R588" s="181">
        <v>0</v>
      </c>
      <c r="S588" s="182">
        <f t="shared" si="33"/>
        <v>113037.90567790123</v>
      </c>
      <c r="T588" s="183"/>
    </row>
    <row r="589" spans="1:20" ht="11.25">
      <c r="A589" s="175" t="s">
        <v>282</v>
      </c>
      <c r="B589" s="175">
        <v>16</v>
      </c>
      <c r="C589" s="176" t="s">
        <v>469</v>
      </c>
      <c r="D589" s="176" t="s">
        <v>377</v>
      </c>
      <c r="E589" s="177" t="s">
        <v>323</v>
      </c>
      <c r="F589" s="177"/>
      <c r="G589" s="176" t="s">
        <v>324</v>
      </c>
      <c r="H589" s="178" t="s">
        <v>325</v>
      </c>
      <c r="I589" s="175" t="s">
        <v>231</v>
      </c>
      <c r="J589" s="179" t="s">
        <v>352</v>
      </c>
      <c r="K589" s="179"/>
      <c r="L589" s="176" t="s">
        <v>378</v>
      </c>
      <c r="M589" s="180">
        <f t="shared" si="35"/>
        <v>115863.85331984876</v>
      </c>
      <c r="N589" s="181">
        <v>0</v>
      </c>
      <c r="O589" s="181">
        <v>0</v>
      </c>
      <c r="P589" s="181">
        <v>0</v>
      </c>
      <c r="Q589" s="181">
        <v>0</v>
      </c>
      <c r="R589" s="181">
        <v>0</v>
      </c>
      <c r="S589" s="182">
        <f t="shared" si="33"/>
        <v>115863.85331984876</v>
      </c>
      <c r="T589" s="183"/>
    </row>
    <row r="590" spans="1:20" ht="11.25">
      <c r="A590" s="175" t="s">
        <v>283</v>
      </c>
      <c r="B590" s="175">
        <v>17</v>
      </c>
      <c r="C590" s="176" t="s">
        <v>469</v>
      </c>
      <c r="D590" s="176" t="s">
        <v>377</v>
      </c>
      <c r="E590" s="177" t="s">
        <v>323</v>
      </c>
      <c r="F590" s="177"/>
      <c r="G590" s="176" t="s">
        <v>324</v>
      </c>
      <c r="H590" s="178" t="s">
        <v>325</v>
      </c>
      <c r="I590" s="175" t="s">
        <v>231</v>
      </c>
      <c r="J590" s="179" t="s">
        <v>352</v>
      </c>
      <c r="K590" s="179"/>
      <c r="L590" s="176" t="s">
        <v>378</v>
      </c>
      <c r="M590" s="180">
        <f t="shared" si="35"/>
        <v>118760.44965284497</v>
      </c>
      <c r="N590" s="181">
        <v>0</v>
      </c>
      <c r="O590" s="181">
        <v>0</v>
      </c>
      <c r="P590" s="181">
        <v>0</v>
      </c>
      <c r="Q590" s="181">
        <v>0</v>
      </c>
      <c r="R590" s="181">
        <v>0</v>
      </c>
      <c r="S590" s="182">
        <f t="shared" si="33"/>
        <v>118760.44965284497</v>
      </c>
      <c r="T590" s="183"/>
    </row>
    <row r="591" spans="1:20" ht="11.25">
      <c r="A591" s="175" t="s">
        <v>284</v>
      </c>
      <c r="B591" s="175">
        <v>18</v>
      </c>
      <c r="C591" s="176" t="s">
        <v>469</v>
      </c>
      <c r="D591" s="176" t="s">
        <v>377</v>
      </c>
      <c r="E591" s="177" t="s">
        <v>323</v>
      </c>
      <c r="F591" s="177"/>
      <c r="G591" s="176" t="s">
        <v>324</v>
      </c>
      <c r="H591" s="178" t="s">
        <v>325</v>
      </c>
      <c r="I591" s="175" t="s">
        <v>231</v>
      </c>
      <c r="J591" s="179" t="s">
        <v>352</v>
      </c>
      <c r="K591" s="179"/>
      <c r="L591" s="176" t="s">
        <v>378</v>
      </c>
      <c r="M591" s="180">
        <f t="shared" si="35"/>
        <v>121729.46089416608</v>
      </c>
      <c r="N591" s="181">
        <v>0</v>
      </c>
      <c r="O591" s="181">
        <v>0</v>
      </c>
      <c r="P591" s="181">
        <v>0</v>
      </c>
      <c r="Q591" s="181">
        <v>0</v>
      </c>
      <c r="R591" s="181">
        <v>0</v>
      </c>
      <c r="S591" s="182">
        <f t="shared" si="33"/>
        <v>121729.46089416608</v>
      </c>
      <c r="T591" s="183"/>
    </row>
    <row r="592" spans="1:20" ht="11.25">
      <c r="A592" s="175" t="s">
        <v>285</v>
      </c>
      <c r="B592" s="175">
        <v>19</v>
      </c>
      <c r="C592" s="176" t="s">
        <v>469</v>
      </c>
      <c r="D592" s="176" t="s">
        <v>377</v>
      </c>
      <c r="E592" s="177" t="s">
        <v>323</v>
      </c>
      <c r="F592" s="177"/>
      <c r="G592" s="176" t="s">
        <v>324</v>
      </c>
      <c r="H592" s="178" t="s">
        <v>325</v>
      </c>
      <c r="I592" s="175" t="s">
        <v>231</v>
      </c>
      <c r="J592" s="179" t="s">
        <v>352</v>
      </c>
      <c r="K592" s="179"/>
      <c r="L592" s="176" t="s">
        <v>378</v>
      </c>
      <c r="M592" s="180">
        <f t="shared" si="35"/>
        <v>124772.69741652023</v>
      </c>
      <c r="N592" s="181">
        <v>0</v>
      </c>
      <c r="O592" s="181">
        <v>0</v>
      </c>
      <c r="P592" s="181">
        <v>0</v>
      </c>
      <c r="Q592" s="181">
        <v>0</v>
      </c>
      <c r="R592" s="181">
        <v>0</v>
      </c>
      <c r="S592" s="182">
        <f t="shared" si="33"/>
        <v>124772.69741652023</v>
      </c>
      <c r="T592" s="183"/>
    </row>
    <row r="593" spans="1:20" ht="11.25">
      <c r="A593" s="175" t="s">
        <v>303</v>
      </c>
      <c r="B593" s="175">
        <v>20</v>
      </c>
      <c r="C593" s="176" t="s">
        <v>469</v>
      </c>
      <c r="D593" s="176" t="s">
        <v>377</v>
      </c>
      <c r="E593" s="177" t="s">
        <v>323</v>
      </c>
      <c r="F593" s="177"/>
      <c r="G593" s="176" t="s">
        <v>324</v>
      </c>
      <c r="H593" s="178" t="s">
        <v>325</v>
      </c>
      <c r="I593" s="175" t="s">
        <v>231</v>
      </c>
      <c r="J593" s="179" t="s">
        <v>352</v>
      </c>
      <c r="K593" s="179"/>
      <c r="L593" s="176" t="s">
        <v>378</v>
      </c>
      <c r="M593" s="180">
        <f t="shared" si="35"/>
        <v>127892.01485193321</v>
      </c>
      <c r="N593" s="181">
        <v>0</v>
      </c>
      <c r="O593" s="181">
        <v>0</v>
      </c>
      <c r="P593" s="181">
        <v>0</v>
      </c>
      <c r="Q593" s="181">
        <v>0</v>
      </c>
      <c r="R593" s="181">
        <v>0</v>
      </c>
      <c r="S593" s="182">
        <f t="shared" si="33"/>
        <v>127892.01485193321</v>
      </c>
      <c r="T593" s="183"/>
    </row>
    <row r="594" spans="1:20" ht="11.25">
      <c r="A594" s="175" t="s">
        <v>265</v>
      </c>
      <c r="B594" s="175">
        <v>0</v>
      </c>
      <c r="C594" s="176" t="s">
        <v>469</v>
      </c>
      <c r="D594" s="176" t="s">
        <v>328</v>
      </c>
      <c r="E594" s="176" t="s">
        <v>329</v>
      </c>
      <c r="F594" s="176"/>
      <c r="G594" s="176" t="s">
        <v>324</v>
      </c>
      <c r="H594" s="178" t="s">
        <v>325</v>
      </c>
      <c r="I594" s="175" t="s">
        <v>231</v>
      </c>
      <c r="J594" s="179" t="s">
        <v>326</v>
      </c>
      <c r="K594" s="179"/>
      <c r="L594" s="176" t="s">
        <v>379</v>
      </c>
      <c r="M594" s="180">
        <v>281216</v>
      </c>
      <c r="N594" s="181">
        <v>0</v>
      </c>
      <c r="O594" s="181">
        <v>0</v>
      </c>
      <c r="P594" s="181">
        <v>281216</v>
      </c>
      <c r="Q594" s="181">
        <v>0</v>
      </c>
      <c r="R594" s="181">
        <v>0</v>
      </c>
      <c r="S594" s="182">
        <f t="shared" si="33"/>
        <v>0</v>
      </c>
      <c r="T594" s="183"/>
    </row>
    <row r="595" spans="1:20" ht="11.25">
      <c r="A595" s="175" t="s">
        <v>267</v>
      </c>
      <c r="B595" s="175">
        <v>1</v>
      </c>
      <c r="C595" s="176" t="s">
        <v>469</v>
      </c>
      <c r="D595" s="176" t="s">
        <v>328</v>
      </c>
      <c r="E595" s="176" t="s">
        <v>329</v>
      </c>
      <c r="F595" s="176"/>
      <c r="G595" s="176" t="s">
        <v>324</v>
      </c>
      <c r="H595" s="178" t="s">
        <v>325</v>
      </c>
      <c r="I595" s="175" t="s">
        <v>231</v>
      </c>
      <c r="J595" s="179" t="s">
        <v>352</v>
      </c>
      <c r="K595" s="179"/>
      <c r="L595" s="176" t="s">
        <v>379</v>
      </c>
      <c r="M595" s="180">
        <f>IF(J595="Y",M594*(1+$F$4),IF(J595="I",M594*(1+$E$4),M594))</f>
        <v>288246.39999999997</v>
      </c>
      <c r="N595" s="181">
        <v>0</v>
      </c>
      <c r="O595" s="181">
        <v>0</v>
      </c>
      <c r="P595" s="181">
        <f aca="true" t="shared" si="36" ref="P595:P614">M595</f>
        <v>288246.39999999997</v>
      </c>
      <c r="Q595" s="181">
        <v>0</v>
      </c>
      <c r="R595" s="181">
        <v>0</v>
      </c>
      <c r="S595" s="182">
        <f t="shared" si="33"/>
        <v>0</v>
      </c>
      <c r="T595" s="183"/>
    </row>
    <row r="596" spans="1:20" ht="11.25">
      <c r="A596" s="175" t="s">
        <v>268</v>
      </c>
      <c r="B596" s="175">
        <v>2</v>
      </c>
      <c r="C596" s="176" t="s">
        <v>469</v>
      </c>
      <c r="D596" s="176" t="s">
        <v>328</v>
      </c>
      <c r="E596" s="176" t="s">
        <v>329</v>
      </c>
      <c r="F596" s="176"/>
      <c r="G596" s="176" t="s">
        <v>324</v>
      </c>
      <c r="H596" s="178" t="s">
        <v>325</v>
      </c>
      <c r="I596" s="175" t="s">
        <v>231</v>
      </c>
      <c r="J596" s="179" t="s">
        <v>352</v>
      </c>
      <c r="K596" s="179"/>
      <c r="L596" s="176" t="s">
        <v>379</v>
      </c>
      <c r="M596" s="180">
        <f aca="true" t="shared" si="37" ref="M596:M614">IF(J596="Y",M595*(1+$C$4),IF(J596="I",M595*(1+$E$4),M595))</f>
        <v>295452.55999999994</v>
      </c>
      <c r="N596" s="181">
        <v>0</v>
      </c>
      <c r="O596" s="181">
        <v>0</v>
      </c>
      <c r="P596" s="181">
        <f t="shared" si="36"/>
        <v>295452.55999999994</v>
      </c>
      <c r="Q596" s="181">
        <v>0</v>
      </c>
      <c r="R596" s="181">
        <v>0</v>
      </c>
      <c r="S596" s="182">
        <f t="shared" si="33"/>
        <v>0</v>
      </c>
      <c r="T596" s="183"/>
    </row>
    <row r="597" spans="1:20" ht="11.25">
      <c r="A597" s="175" t="s">
        <v>269</v>
      </c>
      <c r="B597" s="175">
        <v>3</v>
      </c>
      <c r="C597" s="176" t="s">
        <v>469</v>
      </c>
      <c r="D597" s="176" t="s">
        <v>328</v>
      </c>
      <c r="E597" s="176" t="s">
        <v>329</v>
      </c>
      <c r="F597" s="176"/>
      <c r="G597" s="176" t="s">
        <v>324</v>
      </c>
      <c r="H597" s="178" t="s">
        <v>325</v>
      </c>
      <c r="I597" s="175" t="s">
        <v>231</v>
      </c>
      <c r="J597" s="179" t="s">
        <v>352</v>
      </c>
      <c r="K597" s="179"/>
      <c r="L597" s="176" t="s">
        <v>379</v>
      </c>
      <c r="M597" s="180">
        <f t="shared" si="37"/>
        <v>302838.8739999999</v>
      </c>
      <c r="N597" s="181">
        <v>0</v>
      </c>
      <c r="O597" s="181">
        <v>0</v>
      </c>
      <c r="P597" s="181">
        <f t="shared" si="36"/>
        <v>302838.8739999999</v>
      </c>
      <c r="Q597" s="181">
        <v>0</v>
      </c>
      <c r="R597" s="181">
        <v>0</v>
      </c>
      <c r="S597" s="182">
        <f t="shared" si="33"/>
        <v>0</v>
      </c>
      <c r="T597" s="183"/>
    </row>
    <row r="598" spans="1:20" ht="11.25">
      <c r="A598" s="175" t="s">
        <v>270</v>
      </c>
      <c r="B598" s="175">
        <v>4</v>
      </c>
      <c r="C598" s="176" t="s">
        <v>469</v>
      </c>
      <c r="D598" s="176" t="s">
        <v>328</v>
      </c>
      <c r="E598" s="176" t="s">
        <v>329</v>
      </c>
      <c r="F598" s="176"/>
      <c r="G598" s="176" t="s">
        <v>324</v>
      </c>
      <c r="H598" s="178" t="s">
        <v>325</v>
      </c>
      <c r="I598" s="175" t="s">
        <v>231</v>
      </c>
      <c r="J598" s="179" t="s">
        <v>352</v>
      </c>
      <c r="K598" s="179"/>
      <c r="L598" s="176" t="s">
        <v>379</v>
      </c>
      <c r="M598" s="180">
        <f t="shared" si="37"/>
        <v>310409.84584999987</v>
      </c>
      <c r="N598" s="181">
        <v>0</v>
      </c>
      <c r="O598" s="181">
        <v>0</v>
      </c>
      <c r="P598" s="181">
        <f t="shared" si="36"/>
        <v>310409.84584999987</v>
      </c>
      <c r="Q598" s="181">
        <v>0</v>
      </c>
      <c r="R598" s="181">
        <v>0</v>
      </c>
      <c r="S598" s="182">
        <f t="shared" si="33"/>
        <v>0</v>
      </c>
      <c r="T598" s="183"/>
    </row>
    <row r="599" spans="1:20" ht="11.25">
      <c r="A599" s="175" t="s">
        <v>271</v>
      </c>
      <c r="B599" s="175">
        <v>5</v>
      </c>
      <c r="C599" s="176" t="s">
        <v>469</v>
      </c>
      <c r="D599" s="176" t="s">
        <v>328</v>
      </c>
      <c r="E599" s="176" t="s">
        <v>329</v>
      </c>
      <c r="F599" s="176"/>
      <c r="G599" s="176" t="s">
        <v>324</v>
      </c>
      <c r="H599" s="178" t="s">
        <v>325</v>
      </c>
      <c r="I599" s="175" t="s">
        <v>231</v>
      </c>
      <c r="J599" s="179" t="s">
        <v>352</v>
      </c>
      <c r="K599" s="179"/>
      <c r="L599" s="176" t="s">
        <v>379</v>
      </c>
      <c r="M599" s="180">
        <f t="shared" si="37"/>
        <v>318170.09199624986</v>
      </c>
      <c r="N599" s="181">
        <v>0</v>
      </c>
      <c r="O599" s="181">
        <v>0</v>
      </c>
      <c r="P599" s="181">
        <f t="shared" si="36"/>
        <v>318170.09199624986</v>
      </c>
      <c r="Q599" s="181">
        <v>0</v>
      </c>
      <c r="R599" s="181">
        <v>0</v>
      </c>
      <c r="S599" s="182">
        <f t="shared" si="33"/>
        <v>0</v>
      </c>
      <c r="T599" s="183"/>
    </row>
    <row r="600" spans="1:20" ht="11.25">
      <c r="A600" s="175" t="s">
        <v>272</v>
      </c>
      <c r="B600" s="175">
        <v>6</v>
      </c>
      <c r="C600" s="176" t="s">
        <v>469</v>
      </c>
      <c r="D600" s="176" t="s">
        <v>328</v>
      </c>
      <c r="E600" s="176" t="s">
        <v>329</v>
      </c>
      <c r="F600" s="176"/>
      <c r="G600" s="176" t="s">
        <v>324</v>
      </c>
      <c r="H600" s="178" t="s">
        <v>325</v>
      </c>
      <c r="I600" s="175" t="s">
        <v>231</v>
      </c>
      <c r="J600" s="179" t="s">
        <v>352</v>
      </c>
      <c r="K600" s="179"/>
      <c r="L600" s="176" t="s">
        <v>379</v>
      </c>
      <c r="M600" s="180">
        <f t="shared" si="37"/>
        <v>326124.3442961561</v>
      </c>
      <c r="N600" s="181">
        <v>0</v>
      </c>
      <c r="O600" s="181">
        <v>0</v>
      </c>
      <c r="P600" s="181">
        <f t="shared" si="36"/>
        <v>326124.3442961561</v>
      </c>
      <c r="Q600" s="181">
        <v>0</v>
      </c>
      <c r="R600" s="181">
        <v>0</v>
      </c>
      <c r="S600" s="182">
        <f t="shared" si="33"/>
        <v>0</v>
      </c>
      <c r="T600" s="183"/>
    </row>
    <row r="601" spans="1:20" ht="11.25">
      <c r="A601" s="175" t="s">
        <v>273</v>
      </c>
      <c r="B601" s="175">
        <v>7</v>
      </c>
      <c r="C601" s="176" t="s">
        <v>469</v>
      </c>
      <c r="D601" s="176" t="s">
        <v>328</v>
      </c>
      <c r="E601" s="176" t="s">
        <v>329</v>
      </c>
      <c r="F601" s="176"/>
      <c r="G601" s="176" t="s">
        <v>324</v>
      </c>
      <c r="H601" s="178" t="s">
        <v>325</v>
      </c>
      <c r="I601" s="175" t="s">
        <v>231</v>
      </c>
      <c r="J601" s="179" t="s">
        <v>352</v>
      </c>
      <c r="K601" s="179"/>
      <c r="L601" s="176" t="s">
        <v>379</v>
      </c>
      <c r="M601" s="180">
        <f t="shared" si="37"/>
        <v>334277.45290355996</v>
      </c>
      <c r="N601" s="181">
        <v>0</v>
      </c>
      <c r="O601" s="181">
        <v>0</v>
      </c>
      <c r="P601" s="181">
        <f t="shared" si="36"/>
        <v>334277.45290355996</v>
      </c>
      <c r="Q601" s="181">
        <v>0</v>
      </c>
      <c r="R601" s="181">
        <v>0</v>
      </c>
      <c r="S601" s="182">
        <f t="shared" si="33"/>
        <v>0</v>
      </c>
      <c r="T601" s="183"/>
    </row>
    <row r="602" spans="1:20" ht="11.25">
      <c r="A602" s="175" t="s">
        <v>274</v>
      </c>
      <c r="B602" s="175">
        <v>8</v>
      </c>
      <c r="C602" s="176" t="s">
        <v>469</v>
      </c>
      <c r="D602" s="176" t="s">
        <v>328</v>
      </c>
      <c r="E602" s="176" t="s">
        <v>329</v>
      </c>
      <c r="F602" s="176"/>
      <c r="G602" s="176" t="s">
        <v>324</v>
      </c>
      <c r="H602" s="178" t="s">
        <v>325</v>
      </c>
      <c r="I602" s="175" t="s">
        <v>231</v>
      </c>
      <c r="J602" s="179" t="s">
        <v>352</v>
      </c>
      <c r="K602" s="179"/>
      <c r="L602" s="176" t="s">
        <v>379</v>
      </c>
      <c r="M602" s="180">
        <f t="shared" si="37"/>
        <v>342634.38922614895</v>
      </c>
      <c r="N602" s="181">
        <v>0</v>
      </c>
      <c r="O602" s="181">
        <v>0</v>
      </c>
      <c r="P602" s="181">
        <f t="shared" si="36"/>
        <v>342634.38922614895</v>
      </c>
      <c r="Q602" s="181">
        <v>0</v>
      </c>
      <c r="R602" s="181">
        <v>0</v>
      </c>
      <c r="S602" s="182">
        <f t="shared" si="33"/>
        <v>0</v>
      </c>
      <c r="T602" s="183"/>
    </row>
    <row r="603" spans="1:20" ht="11.25">
      <c r="A603" s="175" t="s">
        <v>275</v>
      </c>
      <c r="B603" s="175">
        <v>9</v>
      </c>
      <c r="C603" s="176" t="s">
        <v>469</v>
      </c>
      <c r="D603" s="176" t="s">
        <v>328</v>
      </c>
      <c r="E603" s="176" t="s">
        <v>329</v>
      </c>
      <c r="F603" s="176"/>
      <c r="G603" s="176" t="s">
        <v>324</v>
      </c>
      <c r="H603" s="178" t="s">
        <v>325</v>
      </c>
      <c r="I603" s="175" t="s">
        <v>231</v>
      </c>
      <c r="J603" s="179" t="s">
        <v>352</v>
      </c>
      <c r="K603" s="179"/>
      <c r="L603" s="176" t="s">
        <v>379</v>
      </c>
      <c r="M603" s="180">
        <f t="shared" si="37"/>
        <v>351200.24895680265</v>
      </c>
      <c r="N603" s="181">
        <v>0</v>
      </c>
      <c r="O603" s="181">
        <v>0</v>
      </c>
      <c r="P603" s="181">
        <f t="shared" si="36"/>
        <v>351200.24895680265</v>
      </c>
      <c r="Q603" s="181">
        <v>0</v>
      </c>
      <c r="R603" s="181">
        <v>0</v>
      </c>
      <c r="S603" s="182">
        <f aca="true" t="shared" si="38" ref="S603:S666">M603-SUM(N603:R603)</f>
        <v>0</v>
      </c>
      <c r="T603" s="183"/>
    </row>
    <row r="604" spans="1:20" ht="11.25">
      <c r="A604" s="175" t="s">
        <v>276</v>
      </c>
      <c r="B604" s="175">
        <v>10</v>
      </c>
      <c r="C604" s="176" t="s">
        <v>469</v>
      </c>
      <c r="D604" s="176" t="s">
        <v>328</v>
      </c>
      <c r="E604" s="176" t="s">
        <v>329</v>
      </c>
      <c r="F604" s="176"/>
      <c r="G604" s="176" t="s">
        <v>324</v>
      </c>
      <c r="H604" s="178" t="s">
        <v>325</v>
      </c>
      <c r="I604" s="175" t="s">
        <v>231</v>
      </c>
      <c r="J604" s="179" t="s">
        <v>352</v>
      </c>
      <c r="K604" s="179"/>
      <c r="L604" s="176" t="s">
        <v>379</v>
      </c>
      <c r="M604" s="180">
        <f t="shared" si="37"/>
        <v>359980.2551807227</v>
      </c>
      <c r="N604" s="181">
        <v>0</v>
      </c>
      <c r="O604" s="181">
        <v>0</v>
      </c>
      <c r="P604" s="181">
        <f t="shared" si="36"/>
        <v>359980.2551807227</v>
      </c>
      <c r="Q604" s="181">
        <v>0</v>
      </c>
      <c r="R604" s="181">
        <v>0</v>
      </c>
      <c r="S604" s="182">
        <f t="shared" si="38"/>
        <v>0</v>
      </c>
      <c r="T604" s="183"/>
    </row>
    <row r="605" spans="1:20" ht="11.25">
      <c r="A605" s="175" t="s">
        <v>277</v>
      </c>
      <c r="B605" s="175">
        <v>11</v>
      </c>
      <c r="C605" s="176" t="s">
        <v>469</v>
      </c>
      <c r="D605" s="176" t="s">
        <v>328</v>
      </c>
      <c r="E605" s="176" t="s">
        <v>329</v>
      </c>
      <c r="F605" s="176"/>
      <c r="G605" s="176" t="s">
        <v>324</v>
      </c>
      <c r="H605" s="178" t="s">
        <v>325</v>
      </c>
      <c r="I605" s="175" t="s">
        <v>231</v>
      </c>
      <c r="J605" s="179" t="s">
        <v>352</v>
      </c>
      <c r="K605" s="179"/>
      <c r="L605" s="176" t="s">
        <v>379</v>
      </c>
      <c r="M605" s="180">
        <f t="shared" si="37"/>
        <v>368979.7615602407</v>
      </c>
      <c r="N605" s="181">
        <v>0</v>
      </c>
      <c r="O605" s="181">
        <v>0</v>
      </c>
      <c r="P605" s="181">
        <f t="shared" si="36"/>
        <v>368979.7615602407</v>
      </c>
      <c r="Q605" s="181">
        <v>0</v>
      </c>
      <c r="R605" s="181">
        <v>0</v>
      </c>
      <c r="S605" s="182">
        <f t="shared" si="38"/>
        <v>0</v>
      </c>
      <c r="T605" s="183"/>
    </row>
    <row r="606" spans="1:20" ht="11.25">
      <c r="A606" s="175" t="s">
        <v>278</v>
      </c>
      <c r="B606" s="175">
        <v>12</v>
      </c>
      <c r="C606" s="176" t="s">
        <v>469</v>
      </c>
      <c r="D606" s="176" t="s">
        <v>328</v>
      </c>
      <c r="E606" s="176" t="s">
        <v>329</v>
      </c>
      <c r="F606" s="176"/>
      <c r="G606" s="176" t="s">
        <v>324</v>
      </c>
      <c r="H606" s="178" t="s">
        <v>325</v>
      </c>
      <c r="I606" s="175" t="s">
        <v>231</v>
      </c>
      <c r="J606" s="179" t="s">
        <v>352</v>
      </c>
      <c r="K606" s="179"/>
      <c r="L606" s="176" t="s">
        <v>379</v>
      </c>
      <c r="M606" s="180">
        <f t="shared" si="37"/>
        <v>378204.2555992467</v>
      </c>
      <c r="N606" s="181">
        <v>0</v>
      </c>
      <c r="O606" s="181">
        <v>0</v>
      </c>
      <c r="P606" s="181">
        <f t="shared" si="36"/>
        <v>378204.2555992467</v>
      </c>
      <c r="Q606" s="181">
        <v>0</v>
      </c>
      <c r="R606" s="181">
        <v>0</v>
      </c>
      <c r="S606" s="182">
        <f t="shared" si="38"/>
        <v>0</v>
      </c>
      <c r="T606" s="183"/>
    </row>
    <row r="607" spans="1:20" ht="11.25">
      <c r="A607" s="175" t="s">
        <v>279</v>
      </c>
      <c r="B607" s="175">
        <v>13</v>
      </c>
      <c r="C607" s="176" t="s">
        <v>469</v>
      </c>
      <c r="D607" s="176" t="s">
        <v>328</v>
      </c>
      <c r="E607" s="176" t="s">
        <v>329</v>
      </c>
      <c r="F607" s="176"/>
      <c r="G607" s="176" t="s">
        <v>324</v>
      </c>
      <c r="H607" s="178" t="s">
        <v>325</v>
      </c>
      <c r="I607" s="175" t="s">
        <v>231</v>
      </c>
      <c r="J607" s="179" t="s">
        <v>352</v>
      </c>
      <c r="K607" s="179"/>
      <c r="L607" s="176" t="s">
        <v>379</v>
      </c>
      <c r="M607" s="180">
        <f t="shared" si="37"/>
        <v>387659.3619892278</v>
      </c>
      <c r="N607" s="181">
        <v>0</v>
      </c>
      <c r="O607" s="181">
        <v>0</v>
      </c>
      <c r="P607" s="181">
        <f t="shared" si="36"/>
        <v>387659.3619892278</v>
      </c>
      <c r="Q607" s="181">
        <v>0</v>
      </c>
      <c r="R607" s="181">
        <v>0</v>
      </c>
      <c r="S607" s="182">
        <f t="shared" si="38"/>
        <v>0</v>
      </c>
      <c r="T607" s="183"/>
    </row>
    <row r="608" spans="1:20" ht="11.25">
      <c r="A608" s="175" t="s">
        <v>280</v>
      </c>
      <c r="B608" s="175">
        <v>14</v>
      </c>
      <c r="C608" s="176" t="s">
        <v>469</v>
      </c>
      <c r="D608" s="176" t="s">
        <v>328</v>
      </c>
      <c r="E608" s="176" t="s">
        <v>329</v>
      </c>
      <c r="F608" s="176"/>
      <c r="G608" s="176" t="s">
        <v>324</v>
      </c>
      <c r="H608" s="178" t="s">
        <v>325</v>
      </c>
      <c r="I608" s="175" t="s">
        <v>231</v>
      </c>
      <c r="J608" s="179" t="s">
        <v>352</v>
      </c>
      <c r="K608" s="179"/>
      <c r="L608" s="176" t="s">
        <v>379</v>
      </c>
      <c r="M608" s="180">
        <f t="shared" si="37"/>
        <v>397350.84603895847</v>
      </c>
      <c r="N608" s="181">
        <v>0</v>
      </c>
      <c r="O608" s="181">
        <v>0</v>
      </c>
      <c r="P608" s="181">
        <f t="shared" si="36"/>
        <v>397350.84603895847</v>
      </c>
      <c r="Q608" s="181">
        <v>0</v>
      </c>
      <c r="R608" s="181">
        <v>0</v>
      </c>
      <c r="S608" s="182">
        <f t="shared" si="38"/>
        <v>0</v>
      </c>
      <c r="T608" s="183"/>
    </row>
    <row r="609" spans="1:20" ht="11.25">
      <c r="A609" s="175" t="s">
        <v>281</v>
      </c>
      <c r="B609" s="175">
        <v>15</v>
      </c>
      <c r="C609" s="176" t="s">
        <v>469</v>
      </c>
      <c r="D609" s="176" t="s">
        <v>328</v>
      </c>
      <c r="E609" s="176" t="s">
        <v>329</v>
      </c>
      <c r="F609" s="176"/>
      <c r="G609" s="176" t="s">
        <v>324</v>
      </c>
      <c r="H609" s="178" t="s">
        <v>325</v>
      </c>
      <c r="I609" s="175" t="s">
        <v>231</v>
      </c>
      <c r="J609" s="179" t="s">
        <v>352</v>
      </c>
      <c r="K609" s="179"/>
      <c r="L609" s="176" t="s">
        <v>379</v>
      </c>
      <c r="M609" s="180">
        <f t="shared" si="37"/>
        <v>407284.6171899324</v>
      </c>
      <c r="N609" s="181">
        <v>0</v>
      </c>
      <c r="O609" s="181">
        <v>0</v>
      </c>
      <c r="P609" s="181">
        <f t="shared" si="36"/>
        <v>407284.6171899324</v>
      </c>
      <c r="Q609" s="181">
        <v>0</v>
      </c>
      <c r="R609" s="181">
        <v>0</v>
      </c>
      <c r="S609" s="182">
        <f t="shared" si="38"/>
        <v>0</v>
      </c>
      <c r="T609" s="183"/>
    </row>
    <row r="610" spans="1:20" ht="11.25">
      <c r="A610" s="175" t="s">
        <v>282</v>
      </c>
      <c r="B610" s="175">
        <v>16</v>
      </c>
      <c r="C610" s="176" t="s">
        <v>469</v>
      </c>
      <c r="D610" s="176" t="s">
        <v>328</v>
      </c>
      <c r="E610" s="176" t="s">
        <v>329</v>
      </c>
      <c r="F610" s="176"/>
      <c r="G610" s="176" t="s">
        <v>324</v>
      </c>
      <c r="H610" s="178" t="s">
        <v>325</v>
      </c>
      <c r="I610" s="175" t="s">
        <v>231</v>
      </c>
      <c r="J610" s="179" t="s">
        <v>352</v>
      </c>
      <c r="K610" s="179"/>
      <c r="L610" s="176" t="s">
        <v>379</v>
      </c>
      <c r="M610" s="180">
        <f t="shared" si="37"/>
        <v>417466.73261968064</v>
      </c>
      <c r="N610" s="181">
        <v>0</v>
      </c>
      <c r="O610" s="181">
        <v>0</v>
      </c>
      <c r="P610" s="181">
        <f t="shared" si="36"/>
        <v>417466.73261968064</v>
      </c>
      <c r="Q610" s="181">
        <v>0</v>
      </c>
      <c r="R610" s="181">
        <v>0</v>
      </c>
      <c r="S610" s="182">
        <f t="shared" si="38"/>
        <v>0</v>
      </c>
      <c r="T610" s="183"/>
    </row>
    <row r="611" spans="1:20" ht="11.25">
      <c r="A611" s="175" t="s">
        <v>283</v>
      </c>
      <c r="B611" s="175">
        <v>17</v>
      </c>
      <c r="C611" s="176" t="s">
        <v>469</v>
      </c>
      <c r="D611" s="176" t="s">
        <v>328</v>
      </c>
      <c r="E611" s="176" t="s">
        <v>329</v>
      </c>
      <c r="F611" s="176"/>
      <c r="G611" s="176" t="s">
        <v>324</v>
      </c>
      <c r="H611" s="178" t="s">
        <v>325</v>
      </c>
      <c r="I611" s="175" t="s">
        <v>231</v>
      </c>
      <c r="J611" s="179" t="s">
        <v>352</v>
      </c>
      <c r="K611" s="179"/>
      <c r="L611" s="176" t="s">
        <v>379</v>
      </c>
      <c r="M611" s="180">
        <f t="shared" si="37"/>
        <v>427903.4009351726</v>
      </c>
      <c r="N611" s="181">
        <v>0</v>
      </c>
      <c r="O611" s="181">
        <v>0</v>
      </c>
      <c r="P611" s="181">
        <f t="shared" si="36"/>
        <v>427903.4009351726</v>
      </c>
      <c r="Q611" s="181">
        <v>0</v>
      </c>
      <c r="R611" s="181">
        <v>0</v>
      </c>
      <c r="S611" s="182">
        <f t="shared" si="38"/>
        <v>0</v>
      </c>
      <c r="T611" s="183"/>
    </row>
    <row r="612" spans="1:20" ht="11.25">
      <c r="A612" s="175" t="s">
        <v>284</v>
      </c>
      <c r="B612" s="175">
        <v>18</v>
      </c>
      <c r="C612" s="176" t="s">
        <v>469</v>
      </c>
      <c r="D612" s="176" t="s">
        <v>328</v>
      </c>
      <c r="E612" s="176" t="s">
        <v>329</v>
      </c>
      <c r="F612" s="176"/>
      <c r="G612" s="176" t="s">
        <v>324</v>
      </c>
      <c r="H612" s="178" t="s">
        <v>325</v>
      </c>
      <c r="I612" s="175" t="s">
        <v>231</v>
      </c>
      <c r="J612" s="179" t="s">
        <v>352</v>
      </c>
      <c r="K612" s="179"/>
      <c r="L612" s="176" t="s">
        <v>379</v>
      </c>
      <c r="M612" s="180">
        <f t="shared" si="37"/>
        <v>438600.98595855193</v>
      </c>
      <c r="N612" s="181">
        <v>0</v>
      </c>
      <c r="O612" s="181">
        <v>0</v>
      </c>
      <c r="P612" s="181">
        <f t="shared" si="36"/>
        <v>438600.98595855193</v>
      </c>
      <c r="Q612" s="181">
        <v>0</v>
      </c>
      <c r="R612" s="181">
        <v>0</v>
      </c>
      <c r="S612" s="182">
        <f t="shared" si="38"/>
        <v>0</v>
      </c>
      <c r="T612" s="183"/>
    </row>
    <row r="613" spans="1:20" ht="11.25">
      <c r="A613" s="175" t="s">
        <v>285</v>
      </c>
      <c r="B613" s="175">
        <v>19</v>
      </c>
      <c r="C613" s="176" t="s">
        <v>469</v>
      </c>
      <c r="D613" s="176" t="s">
        <v>328</v>
      </c>
      <c r="E613" s="176" t="s">
        <v>329</v>
      </c>
      <c r="F613" s="176"/>
      <c r="G613" s="176" t="s">
        <v>324</v>
      </c>
      <c r="H613" s="178" t="s">
        <v>325</v>
      </c>
      <c r="I613" s="175" t="s">
        <v>231</v>
      </c>
      <c r="J613" s="179" t="s">
        <v>352</v>
      </c>
      <c r="K613" s="179"/>
      <c r="L613" s="176" t="s">
        <v>379</v>
      </c>
      <c r="M613" s="180">
        <f t="shared" si="37"/>
        <v>449566.0106075157</v>
      </c>
      <c r="N613" s="181">
        <v>0</v>
      </c>
      <c r="O613" s="181">
        <v>0</v>
      </c>
      <c r="P613" s="181">
        <f t="shared" si="36"/>
        <v>449566.0106075157</v>
      </c>
      <c r="Q613" s="181">
        <v>0</v>
      </c>
      <c r="R613" s="181">
        <v>0</v>
      </c>
      <c r="S613" s="182">
        <f t="shared" si="38"/>
        <v>0</v>
      </c>
      <c r="T613" s="183"/>
    </row>
    <row r="614" spans="1:20" ht="11.25">
      <c r="A614" s="175" t="s">
        <v>303</v>
      </c>
      <c r="B614" s="175">
        <v>20</v>
      </c>
      <c r="C614" s="176" t="s">
        <v>469</v>
      </c>
      <c r="D614" s="176" t="s">
        <v>328</v>
      </c>
      <c r="E614" s="176" t="s">
        <v>329</v>
      </c>
      <c r="F614" s="176"/>
      <c r="G614" s="176" t="s">
        <v>324</v>
      </c>
      <c r="H614" s="178" t="s">
        <v>325</v>
      </c>
      <c r="I614" s="175" t="s">
        <v>231</v>
      </c>
      <c r="J614" s="179" t="s">
        <v>352</v>
      </c>
      <c r="K614" s="179"/>
      <c r="L614" s="176" t="s">
        <v>379</v>
      </c>
      <c r="M614" s="180">
        <f t="shared" si="37"/>
        <v>460805.16087270353</v>
      </c>
      <c r="N614" s="181">
        <v>0</v>
      </c>
      <c r="O614" s="181">
        <v>0</v>
      </c>
      <c r="P614" s="181">
        <f t="shared" si="36"/>
        <v>460805.16087270353</v>
      </c>
      <c r="Q614" s="181">
        <v>0</v>
      </c>
      <c r="R614" s="181">
        <v>0</v>
      </c>
      <c r="S614" s="182">
        <f t="shared" si="38"/>
        <v>0</v>
      </c>
      <c r="T614" s="183"/>
    </row>
    <row r="615" spans="1:20" ht="11.25">
      <c r="A615" s="175" t="s">
        <v>265</v>
      </c>
      <c r="B615" s="175">
        <v>0</v>
      </c>
      <c r="C615" s="176" t="s">
        <v>341</v>
      </c>
      <c r="D615" s="176" t="s">
        <v>380</v>
      </c>
      <c r="E615" s="177" t="s">
        <v>323</v>
      </c>
      <c r="F615" s="177"/>
      <c r="G615" s="176" t="s">
        <v>360</v>
      </c>
      <c r="H615" s="178" t="s">
        <v>325</v>
      </c>
      <c r="I615" s="175" t="s">
        <v>231</v>
      </c>
      <c r="J615" s="179" t="s">
        <v>326</v>
      </c>
      <c r="K615" s="179"/>
      <c r="L615" s="176" t="s">
        <v>381</v>
      </c>
      <c r="M615" s="180">
        <v>3126800</v>
      </c>
      <c r="N615" s="181">
        <v>0</v>
      </c>
      <c r="O615" s="181">
        <v>0</v>
      </c>
      <c r="P615" s="181">
        <v>0</v>
      </c>
      <c r="Q615" s="181">
        <v>0</v>
      </c>
      <c r="R615" s="181">
        <v>375000</v>
      </c>
      <c r="S615" s="182">
        <f t="shared" si="38"/>
        <v>2751800</v>
      </c>
      <c r="T615" s="183"/>
    </row>
    <row r="616" spans="1:20" ht="11.25">
      <c r="A616" s="175" t="s">
        <v>267</v>
      </c>
      <c r="B616" s="175">
        <v>1</v>
      </c>
      <c r="C616" s="176" t="s">
        <v>341</v>
      </c>
      <c r="D616" s="176" t="s">
        <v>380</v>
      </c>
      <c r="E616" s="177" t="s">
        <v>323</v>
      </c>
      <c r="F616" s="177"/>
      <c r="G616" s="176" t="s">
        <v>360</v>
      </c>
      <c r="H616" s="178" t="s">
        <v>325</v>
      </c>
      <c r="I616" s="175" t="s">
        <v>231</v>
      </c>
      <c r="J616" s="179" t="s">
        <v>352</v>
      </c>
      <c r="K616" s="179"/>
      <c r="L616" s="176" t="s">
        <v>381</v>
      </c>
      <c r="M616" s="180">
        <f>IF(J616="Y",M615*(1+$F$4),IF(J616="I",M615*(1+$E$4),M615))</f>
        <v>3204969.9999999995</v>
      </c>
      <c r="N616" s="181">
        <v>0</v>
      </c>
      <c r="O616" s="181">
        <v>0</v>
      </c>
      <c r="P616" s="181">
        <v>0</v>
      </c>
      <c r="Q616" s="181">
        <v>0</v>
      </c>
      <c r="R616" s="181">
        <f>R615*(1+$E$4)</f>
        <v>384374.99999999994</v>
      </c>
      <c r="S616" s="182">
        <f t="shared" si="38"/>
        <v>2820594.9999999995</v>
      </c>
      <c r="T616" s="183"/>
    </row>
    <row r="617" spans="1:20" ht="11.25">
      <c r="A617" s="175" t="s">
        <v>268</v>
      </c>
      <c r="B617" s="175">
        <v>2</v>
      </c>
      <c r="C617" s="176" t="s">
        <v>341</v>
      </c>
      <c r="D617" s="176" t="s">
        <v>380</v>
      </c>
      <c r="E617" s="177" t="s">
        <v>323</v>
      </c>
      <c r="F617" s="177"/>
      <c r="G617" s="176" t="s">
        <v>360</v>
      </c>
      <c r="H617" s="178" t="s">
        <v>325</v>
      </c>
      <c r="I617" s="175" t="s">
        <v>231</v>
      </c>
      <c r="J617" s="179" t="s">
        <v>352</v>
      </c>
      <c r="K617" s="179"/>
      <c r="L617" s="176" t="s">
        <v>381</v>
      </c>
      <c r="M617" s="180">
        <f aca="true" t="shared" si="39" ref="M617:M635">IF(J617="Y",M616*(1+$C$4),IF(J617="I",M616*(1+$E$4),M616))</f>
        <v>3285094.249999999</v>
      </c>
      <c r="N617" s="181">
        <v>0</v>
      </c>
      <c r="O617" s="181">
        <v>0</v>
      </c>
      <c r="P617" s="181">
        <v>0</v>
      </c>
      <c r="Q617" s="181">
        <v>0</v>
      </c>
      <c r="R617" s="181">
        <f aca="true" t="shared" si="40" ref="R617:R635">R616*(1+$E$4)</f>
        <v>393984.3749999999</v>
      </c>
      <c r="S617" s="182">
        <f t="shared" si="38"/>
        <v>2891109.874999999</v>
      </c>
      <c r="T617" s="183"/>
    </row>
    <row r="618" spans="1:20" ht="11.25">
      <c r="A618" s="175" t="s">
        <v>269</v>
      </c>
      <c r="B618" s="175">
        <v>3</v>
      </c>
      <c r="C618" s="176" t="s">
        <v>341</v>
      </c>
      <c r="D618" s="176" t="s">
        <v>380</v>
      </c>
      <c r="E618" s="177" t="s">
        <v>323</v>
      </c>
      <c r="F618" s="177"/>
      <c r="G618" s="176" t="s">
        <v>360</v>
      </c>
      <c r="H618" s="178" t="s">
        <v>325</v>
      </c>
      <c r="I618" s="175" t="s">
        <v>231</v>
      </c>
      <c r="J618" s="179" t="s">
        <v>352</v>
      </c>
      <c r="K618" s="179"/>
      <c r="L618" s="176" t="s">
        <v>381</v>
      </c>
      <c r="M618" s="180">
        <f t="shared" si="39"/>
        <v>3367221.606249999</v>
      </c>
      <c r="N618" s="181">
        <v>0</v>
      </c>
      <c r="O618" s="181">
        <v>0</v>
      </c>
      <c r="P618" s="181">
        <v>0</v>
      </c>
      <c r="Q618" s="181">
        <v>0</v>
      </c>
      <c r="R618" s="181">
        <f t="shared" si="40"/>
        <v>403833.9843749998</v>
      </c>
      <c r="S618" s="182">
        <f t="shared" si="38"/>
        <v>2963387.621874999</v>
      </c>
      <c r="T618" s="183"/>
    </row>
    <row r="619" spans="1:20" ht="11.25">
      <c r="A619" s="175" t="s">
        <v>270</v>
      </c>
      <c r="B619" s="175">
        <v>4</v>
      </c>
      <c r="C619" s="176" t="s">
        <v>341</v>
      </c>
      <c r="D619" s="176" t="s">
        <v>380</v>
      </c>
      <c r="E619" s="177" t="s">
        <v>323</v>
      </c>
      <c r="F619" s="177"/>
      <c r="G619" s="176" t="s">
        <v>360</v>
      </c>
      <c r="H619" s="178" t="s">
        <v>325</v>
      </c>
      <c r="I619" s="175" t="s">
        <v>231</v>
      </c>
      <c r="J619" s="179" t="s">
        <v>352</v>
      </c>
      <c r="K619" s="179"/>
      <c r="L619" s="176" t="s">
        <v>381</v>
      </c>
      <c r="M619" s="180">
        <f t="shared" si="39"/>
        <v>3451402.1464062487</v>
      </c>
      <c r="N619" s="181">
        <v>0</v>
      </c>
      <c r="O619" s="181">
        <v>0</v>
      </c>
      <c r="P619" s="181">
        <v>0</v>
      </c>
      <c r="Q619" s="181">
        <v>0</v>
      </c>
      <c r="R619" s="181">
        <f t="shared" si="40"/>
        <v>413929.83398437477</v>
      </c>
      <c r="S619" s="182">
        <f t="shared" si="38"/>
        <v>3037472.312421874</v>
      </c>
      <c r="T619" s="183"/>
    </row>
    <row r="620" spans="1:20" ht="11.25">
      <c r="A620" s="175" t="s">
        <v>271</v>
      </c>
      <c r="B620" s="175">
        <v>5</v>
      </c>
      <c r="C620" s="176" t="s">
        <v>341</v>
      </c>
      <c r="D620" s="176" t="s">
        <v>380</v>
      </c>
      <c r="E620" s="177" t="s">
        <v>323</v>
      </c>
      <c r="F620" s="177"/>
      <c r="G620" s="176" t="s">
        <v>360</v>
      </c>
      <c r="H620" s="178" t="s">
        <v>325</v>
      </c>
      <c r="I620" s="175" t="s">
        <v>231</v>
      </c>
      <c r="J620" s="179" t="s">
        <v>352</v>
      </c>
      <c r="K620" s="179"/>
      <c r="L620" s="176" t="s">
        <v>381</v>
      </c>
      <c r="M620" s="180">
        <f t="shared" si="39"/>
        <v>3537687.2000664044</v>
      </c>
      <c r="N620" s="181">
        <v>0</v>
      </c>
      <c r="O620" s="181">
        <v>0</v>
      </c>
      <c r="P620" s="181">
        <v>0</v>
      </c>
      <c r="Q620" s="181">
        <v>0</v>
      </c>
      <c r="R620" s="181">
        <f t="shared" si="40"/>
        <v>424278.0798339841</v>
      </c>
      <c r="S620" s="182">
        <f t="shared" si="38"/>
        <v>3113409.1202324205</v>
      </c>
      <c r="T620" s="183"/>
    </row>
    <row r="621" spans="1:20" ht="11.25">
      <c r="A621" s="175" t="s">
        <v>272</v>
      </c>
      <c r="B621" s="175">
        <v>6</v>
      </c>
      <c r="C621" s="176" t="s">
        <v>341</v>
      </c>
      <c r="D621" s="176" t="s">
        <v>380</v>
      </c>
      <c r="E621" s="177" t="s">
        <v>323</v>
      </c>
      <c r="F621" s="177"/>
      <c r="G621" s="176" t="s">
        <v>360</v>
      </c>
      <c r="H621" s="178" t="s">
        <v>325</v>
      </c>
      <c r="I621" s="175" t="s">
        <v>231</v>
      </c>
      <c r="J621" s="179" t="s">
        <v>352</v>
      </c>
      <c r="K621" s="179"/>
      <c r="L621" s="176" t="s">
        <v>381</v>
      </c>
      <c r="M621" s="180">
        <f t="shared" si="39"/>
        <v>3626129.380068064</v>
      </c>
      <c r="N621" s="181">
        <v>0</v>
      </c>
      <c r="O621" s="181">
        <v>0</v>
      </c>
      <c r="P621" s="181">
        <v>0</v>
      </c>
      <c r="Q621" s="181">
        <v>0</v>
      </c>
      <c r="R621" s="181">
        <f t="shared" si="40"/>
        <v>434885.03182983364</v>
      </c>
      <c r="S621" s="182">
        <f t="shared" si="38"/>
        <v>3191244.3482382307</v>
      </c>
      <c r="T621" s="183"/>
    </row>
    <row r="622" spans="1:20" ht="11.25">
      <c r="A622" s="175" t="s">
        <v>273</v>
      </c>
      <c r="B622" s="175">
        <v>7</v>
      </c>
      <c r="C622" s="176" t="s">
        <v>341</v>
      </c>
      <c r="D622" s="176" t="s">
        <v>380</v>
      </c>
      <c r="E622" s="177" t="s">
        <v>323</v>
      </c>
      <c r="F622" s="177"/>
      <c r="G622" s="176" t="s">
        <v>360</v>
      </c>
      <c r="H622" s="178" t="s">
        <v>325</v>
      </c>
      <c r="I622" s="175" t="s">
        <v>231</v>
      </c>
      <c r="J622" s="179" t="s">
        <v>352</v>
      </c>
      <c r="K622" s="179"/>
      <c r="L622" s="176" t="s">
        <v>381</v>
      </c>
      <c r="M622" s="180">
        <f t="shared" si="39"/>
        <v>3716782.6145697655</v>
      </c>
      <c r="N622" s="181">
        <v>0</v>
      </c>
      <c r="O622" s="181">
        <v>0</v>
      </c>
      <c r="P622" s="181">
        <v>0</v>
      </c>
      <c r="Q622" s="181">
        <v>0</v>
      </c>
      <c r="R622" s="181">
        <f t="shared" si="40"/>
        <v>445757.15762557945</v>
      </c>
      <c r="S622" s="182">
        <f t="shared" si="38"/>
        <v>3271025.4569441862</v>
      </c>
      <c r="T622" s="183"/>
    </row>
    <row r="623" spans="1:20" ht="11.25">
      <c r="A623" s="175" t="s">
        <v>274</v>
      </c>
      <c r="B623" s="175">
        <v>8</v>
      </c>
      <c r="C623" s="176" t="s">
        <v>341</v>
      </c>
      <c r="D623" s="176" t="s">
        <v>380</v>
      </c>
      <c r="E623" s="177" t="s">
        <v>323</v>
      </c>
      <c r="F623" s="177"/>
      <c r="G623" s="176" t="s">
        <v>360</v>
      </c>
      <c r="H623" s="178" t="s">
        <v>325</v>
      </c>
      <c r="I623" s="175" t="s">
        <v>231</v>
      </c>
      <c r="J623" s="179" t="s">
        <v>352</v>
      </c>
      <c r="K623" s="179"/>
      <c r="L623" s="176" t="s">
        <v>381</v>
      </c>
      <c r="M623" s="180">
        <f t="shared" si="39"/>
        <v>3809702.1799340094</v>
      </c>
      <c r="N623" s="181">
        <v>0</v>
      </c>
      <c r="O623" s="181">
        <v>0</v>
      </c>
      <c r="P623" s="181">
        <v>0</v>
      </c>
      <c r="Q623" s="181">
        <v>0</v>
      </c>
      <c r="R623" s="181">
        <f t="shared" si="40"/>
        <v>456901.0865662189</v>
      </c>
      <c r="S623" s="182">
        <f t="shared" si="38"/>
        <v>3352801.093367791</v>
      </c>
      <c r="T623" s="183"/>
    </row>
    <row r="624" spans="1:20" ht="11.25">
      <c r="A624" s="175" t="s">
        <v>275</v>
      </c>
      <c r="B624" s="175">
        <v>9</v>
      </c>
      <c r="C624" s="176" t="s">
        <v>341</v>
      </c>
      <c r="D624" s="176" t="s">
        <v>380</v>
      </c>
      <c r="E624" s="177" t="s">
        <v>323</v>
      </c>
      <c r="F624" s="177"/>
      <c r="G624" s="176" t="s">
        <v>360</v>
      </c>
      <c r="H624" s="178" t="s">
        <v>325</v>
      </c>
      <c r="I624" s="175" t="s">
        <v>231</v>
      </c>
      <c r="J624" s="179" t="s">
        <v>352</v>
      </c>
      <c r="K624" s="179"/>
      <c r="L624" s="176" t="s">
        <v>381</v>
      </c>
      <c r="M624" s="180">
        <f t="shared" si="39"/>
        <v>3904944.734432359</v>
      </c>
      <c r="N624" s="181">
        <v>0</v>
      </c>
      <c r="O624" s="181">
        <v>0</v>
      </c>
      <c r="P624" s="181">
        <v>0</v>
      </c>
      <c r="Q624" s="181">
        <v>0</v>
      </c>
      <c r="R624" s="181">
        <f t="shared" si="40"/>
        <v>468323.6137303743</v>
      </c>
      <c r="S624" s="182">
        <f t="shared" si="38"/>
        <v>3436621.120701985</v>
      </c>
      <c r="T624" s="183"/>
    </row>
    <row r="625" spans="1:20" ht="11.25">
      <c r="A625" s="175" t="s">
        <v>276</v>
      </c>
      <c r="B625" s="175">
        <v>10</v>
      </c>
      <c r="C625" s="176" t="s">
        <v>341</v>
      </c>
      <c r="D625" s="176" t="s">
        <v>380</v>
      </c>
      <c r="E625" s="177" t="s">
        <v>323</v>
      </c>
      <c r="F625" s="177"/>
      <c r="G625" s="176" t="s">
        <v>360</v>
      </c>
      <c r="H625" s="178" t="s">
        <v>325</v>
      </c>
      <c r="I625" s="175" t="s">
        <v>231</v>
      </c>
      <c r="J625" s="179" t="s">
        <v>352</v>
      </c>
      <c r="K625" s="179"/>
      <c r="L625" s="176" t="s">
        <v>381</v>
      </c>
      <c r="M625" s="180">
        <f t="shared" si="39"/>
        <v>4002568.352793168</v>
      </c>
      <c r="N625" s="181">
        <v>0</v>
      </c>
      <c r="O625" s="181">
        <v>0</v>
      </c>
      <c r="P625" s="181">
        <v>0</v>
      </c>
      <c r="Q625" s="181">
        <v>0</v>
      </c>
      <c r="R625" s="181">
        <f t="shared" si="40"/>
        <v>480031.70407363365</v>
      </c>
      <c r="S625" s="182">
        <f t="shared" si="38"/>
        <v>3522536.6487195343</v>
      </c>
      <c r="T625" s="183"/>
    </row>
    <row r="626" spans="1:20" ht="11.25">
      <c r="A626" s="175" t="s">
        <v>277</v>
      </c>
      <c r="B626" s="175">
        <v>11</v>
      </c>
      <c r="C626" s="176" t="s">
        <v>341</v>
      </c>
      <c r="D626" s="176" t="s">
        <v>380</v>
      </c>
      <c r="E626" s="177" t="s">
        <v>323</v>
      </c>
      <c r="F626" s="177"/>
      <c r="G626" s="176" t="s">
        <v>360</v>
      </c>
      <c r="H626" s="178" t="s">
        <v>325</v>
      </c>
      <c r="I626" s="175" t="s">
        <v>231</v>
      </c>
      <c r="J626" s="179" t="s">
        <v>352</v>
      </c>
      <c r="K626" s="179"/>
      <c r="L626" s="176" t="s">
        <v>381</v>
      </c>
      <c r="M626" s="180">
        <f t="shared" si="39"/>
        <v>4102632.5616129967</v>
      </c>
      <c r="N626" s="181">
        <v>0</v>
      </c>
      <c r="O626" s="181">
        <v>0</v>
      </c>
      <c r="P626" s="181">
        <v>0</v>
      </c>
      <c r="Q626" s="181">
        <v>0</v>
      </c>
      <c r="R626" s="181">
        <f t="shared" si="40"/>
        <v>492032.49667547445</v>
      </c>
      <c r="S626" s="182">
        <f t="shared" si="38"/>
        <v>3610600.064937522</v>
      </c>
      <c r="T626" s="183"/>
    </row>
    <row r="627" spans="1:20" ht="11.25">
      <c r="A627" s="175" t="s">
        <v>278</v>
      </c>
      <c r="B627" s="175">
        <v>12</v>
      </c>
      <c r="C627" s="176" t="s">
        <v>341</v>
      </c>
      <c r="D627" s="176" t="s">
        <v>380</v>
      </c>
      <c r="E627" s="177" t="s">
        <v>323</v>
      </c>
      <c r="F627" s="177"/>
      <c r="G627" s="176" t="s">
        <v>360</v>
      </c>
      <c r="H627" s="178" t="s">
        <v>325</v>
      </c>
      <c r="I627" s="175" t="s">
        <v>231</v>
      </c>
      <c r="J627" s="179" t="s">
        <v>352</v>
      </c>
      <c r="K627" s="179"/>
      <c r="L627" s="176" t="s">
        <v>381</v>
      </c>
      <c r="M627" s="180">
        <f t="shared" si="39"/>
        <v>4205198.375653321</v>
      </c>
      <c r="N627" s="181">
        <v>0</v>
      </c>
      <c r="O627" s="181">
        <v>0</v>
      </c>
      <c r="P627" s="181">
        <v>0</v>
      </c>
      <c r="Q627" s="181">
        <v>0</v>
      </c>
      <c r="R627" s="181">
        <f t="shared" si="40"/>
        <v>504333.30909236125</v>
      </c>
      <c r="S627" s="182">
        <f t="shared" si="38"/>
        <v>3700865.0665609594</v>
      </c>
      <c r="T627" s="183"/>
    </row>
    <row r="628" spans="1:20" ht="11.25">
      <c r="A628" s="175" t="s">
        <v>279</v>
      </c>
      <c r="B628" s="175">
        <v>13</v>
      </c>
      <c r="C628" s="176" t="s">
        <v>341</v>
      </c>
      <c r="D628" s="176" t="s">
        <v>380</v>
      </c>
      <c r="E628" s="177" t="s">
        <v>323</v>
      </c>
      <c r="F628" s="177"/>
      <c r="G628" s="176" t="s">
        <v>360</v>
      </c>
      <c r="H628" s="178" t="s">
        <v>325</v>
      </c>
      <c r="I628" s="175" t="s">
        <v>231</v>
      </c>
      <c r="J628" s="179" t="s">
        <v>352</v>
      </c>
      <c r="K628" s="179"/>
      <c r="L628" s="176" t="s">
        <v>381</v>
      </c>
      <c r="M628" s="180">
        <f t="shared" si="39"/>
        <v>4310328.335044653</v>
      </c>
      <c r="N628" s="181">
        <v>0</v>
      </c>
      <c r="O628" s="181">
        <v>0</v>
      </c>
      <c r="P628" s="181">
        <v>0</v>
      </c>
      <c r="Q628" s="181">
        <v>0</v>
      </c>
      <c r="R628" s="181">
        <f t="shared" si="40"/>
        <v>516941.6418196702</v>
      </c>
      <c r="S628" s="182">
        <f t="shared" si="38"/>
        <v>3793386.693224983</v>
      </c>
      <c r="T628" s="183"/>
    </row>
    <row r="629" spans="1:20" ht="11.25">
      <c r="A629" s="175" t="s">
        <v>280</v>
      </c>
      <c r="B629" s="175">
        <v>14</v>
      </c>
      <c r="C629" s="176" t="s">
        <v>341</v>
      </c>
      <c r="D629" s="176" t="s">
        <v>380</v>
      </c>
      <c r="E629" s="177" t="s">
        <v>323</v>
      </c>
      <c r="F629" s="177"/>
      <c r="G629" s="176" t="s">
        <v>360</v>
      </c>
      <c r="H629" s="178" t="s">
        <v>325</v>
      </c>
      <c r="I629" s="175" t="s">
        <v>231</v>
      </c>
      <c r="J629" s="179" t="s">
        <v>352</v>
      </c>
      <c r="K629" s="179"/>
      <c r="L629" s="176" t="s">
        <v>381</v>
      </c>
      <c r="M629" s="180">
        <f t="shared" si="39"/>
        <v>4418086.543420769</v>
      </c>
      <c r="N629" s="181">
        <v>0</v>
      </c>
      <c r="O629" s="181">
        <v>0</v>
      </c>
      <c r="P629" s="181">
        <v>0</v>
      </c>
      <c r="Q629" s="181">
        <v>0</v>
      </c>
      <c r="R629" s="181">
        <f t="shared" si="40"/>
        <v>529865.1828651619</v>
      </c>
      <c r="S629" s="182">
        <f t="shared" si="38"/>
        <v>3888221.3605556074</v>
      </c>
      <c r="T629" s="183"/>
    </row>
    <row r="630" spans="1:20" ht="11.25">
      <c r="A630" s="175" t="s">
        <v>281</v>
      </c>
      <c r="B630" s="175">
        <v>15</v>
      </c>
      <c r="C630" s="176" t="s">
        <v>341</v>
      </c>
      <c r="D630" s="176" t="s">
        <v>380</v>
      </c>
      <c r="E630" s="177" t="s">
        <v>323</v>
      </c>
      <c r="F630" s="177"/>
      <c r="G630" s="176" t="s">
        <v>360</v>
      </c>
      <c r="H630" s="178" t="s">
        <v>325</v>
      </c>
      <c r="I630" s="175" t="s">
        <v>231</v>
      </c>
      <c r="J630" s="179" t="s">
        <v>352</v>
      </c>
      <c r="K630" s="179"/>
      <c r="L630" s="176" t="s">
        <v>381</v>
      </c>
      <c r="M630" s="180">
        <f t="shared" si="39"/>
        <v>4528538.707006288</v>
      </c>
      <c r="N630" s="181">
        <v>0</v>
      </c>
      <c r="O630" s="181">
        <v>0</v>
      </c>
      <c r="P630" s="181">
        <v>0</v>
      </c>
      <c r="Q630" s="181">
        <v>0</v>
      </c>
      <c r="R630" s="181">
        <f t="shared" si="40"/>
        <v>543111.8124367909</v>
      </c>
      <c r="S630" s="182">
        <f t="shared" si="38"/>
        <v>3985426.8945694966</v>
      </c>
      <c r="T630" s="183"/>
    </row>
    <row r="631" spans="1:20" ht="11.25">
      <c r="A631" s="175" t="s">
        <v>282</v>
      </c>
      <c r="B631" s="175">
        <v>16</v>
      </c>
      <c r="C631" s="176" t="s">
        <v>341</v>
      </c>
      <c r="D631" s="176" t="s">
        <v>380</v>
      </c>
      <c r="E631" s="177" t="s">
        <v>323</v>
      </c>
      <c r="F631" s="177"/>
      <c r="G631" s="176" t="s">
        <v>360</v>
      </c>
      <c r="H631" s="178" t="s">
        <v>325</v>
      </c>
      <c r="I631" s="175" t="s">
        <v>231</v>
      </c>
      <c r="J631" s="179" t="s">
        <v>352</v>
      </c>
      <c r="K631" s="179"/>
      <c r="L631" s="176" t="s">
        <v>381</v>
      </c>
      <c r="M631" s="180">
        <f t="shared" si="39"/>
        <v>4641752.174681445</v>
      </c>
      <c r="N631" s="181">
        <v>0</v>
      </c>
      <c r="O631" s="181">
        <v>0</v>
      </c>
      <c r="P631" s="181">
        <v>0</v>
      </c>
      <c r="Q631" s="181">
        <v>0</v>
      </c>
      <c r="R631" s="181">
        <f t="shared" si="40"/>
        <v>556689.6077477107</v>
      </c>
      <c r="S631" s="182">
        <f t="shared" si="38"/>
        <v>4085062.566933734</v>
      </c>
      <c r="T631" s="183"/>
    </row>
    <row r="632" spans="1:20" ht="11.25">
      <c r="A632" s="175" t="s">
        <v>283</v>
      </c>
      <c r="B632" s="175">
        <v>17</v>
      </c>
      <c r="C632" s="176" t="s">
        <v>341</v>
      </c>
      <c r="D632" s="176" t="s">
        <v>380</v>
      </c>
      <c r="E632" s="177" t="s">
        <v>323</v>
      </c>
      <c r="F632" s="177"/>
      <c r="G632" s="176" t="s">
        <v>360</v>
      </c>
      <c r="H632" s="178" t="s">
        <v>325</v>
      </c>
      <c r="I632" s="175" t="s">
        <v>231</v>
      </c>
      <c r="J632" s="179" t="s">
        <v>352</v>
      </c>
      <c r="K632" s="179"/>
      <c r="L632" s="176" t="s">
        <v>381</v>
      </c>
      <c r="M632" s="180">
        <f t="shared" si="39"/>
        <v>4757795.97904848</v>
      </c>
      <c r="N632" s="181">
        <v>0</v>
      </c>
      <c r="O632" s="181">
        <v>0</v>
      </c>
      <c r="P632" s="181">
        <v>0</v>
      </c>
      <c r="Q632" s="181">
        <v>0</v>
      </c>
      <c r="R632" s="181">
        <f t="shared" si="40"/>
        <v>570606.8479414034</v>
      </c>
      <c r="S632" s="182">
        <f t="shared" si="38"/>
        <v>4187189.131107077</v>
      </c>
      <c r="T632" s="183"/>
    </row>
    <row r="633" spans="1:20" ht="11.25">
      <c r="A633" s="175" t="s">
        <v>284</v>
      </c>
      <c r="B633" s="175">
        <v>18</v>
      </c>
      <c r="C633" s="176" t="s">
        <v>341</v>
      </c>
      <c r="D633" s="176" t="s">
        <v>380</v>
      </c>
      <c r="E633" s="177" t="s">
        <v>323</v>
      </c>
      <c r="F633" s="177"/>
      <c r="G633" s="176" t="s">
        <v>360</v>
      </c>
      <c r="H633" s="178" t="s">
        <v>325</v>
      </c>
      <c r="I633" s="175" t="s">
        <v>231</v>
      </c>
      <c r="J633" s="179" t="s">
        <v>352</v>
      </c>
      <c r="K633" s="179"/>
      <c r="L633" s="176" t="s">
        <v>381</v>
      </c>
      <c r="M633" s="180">
        <f t="shared" si="39"/>
        <v>4876740.878524692</v>
      </c>
      <c r="N633" s="181">
        <v>0</v>
      </c>
      <c r="O633" s="181">
        <v>0</v>
      </c>
      <c r="P633" s="181">
        <v>0</v>
      </c>
      <c r="Q633" s="181">
        <v>0</v>
      </c>
      <c r="R633" s="181">
        <f t="shared" si="40"/>
        <v>584872.0191399384</v>
      </c>
      <c r="S633" s="182">
        <f t="shared" si="38"/>
        <v>4291868.859384754</v>
      </c>
      <c r="T633" s="183"/>
    </row>
    <row r="634" spans="1:20" ht="11.25">
      <c r="A634" s="175" t="s">
        <v>285</v>
      </c>
      <c r="B634" s="175">
        <v>19</v>
      </c>
      <c r="C634" s="176" t="s">
        <v>341</v>
      </c>
      <c r="D634" s="176" t="s">
        <v>380</v>
      </c>
      <c r="E634" s="177" t="s">
        <v>323</v>
      </c>
      <c r="F634" s="177"/>
      <c r="G634" s="176" t="s">
        <v>360</v>
      </c>
      <c r="H634" s="178" t="s">
        <v>325</v>
      </c>
      <c r="I634" s="175" t="s">
        <v>231</v>
      </c>
      <c r="J634" s="179" t="s">
        <v>352</v>
      </c>
      <c r="K634" s="179"/>
      <c r="L634" s="176" t="s">
        <v>381</v>
      </c>
      <c r="M634" s="180">
        <f t="shared" si="39"/>
        <v>4998659.4004878085</v>
      </c>
      <c r="N634" s="181">
        <v>0</v>
      </c>
      <c r="O634" s="181">
        <v>0</v>
      </c>
      <c r="P634" s="181">
        <v>0</v>
      </c>
      <c r="Q634" s="181">
        <v>0</v>
      </c>
      <c r="R634" s="181">
        <f t="shared" si="40"/>
        <v>599493.8196184369</v>
      </c>
      <c r="S634" s="182">
        <f t="shared" si="38"/>
        <v>4399165.580869372</v>
      </c>
      <c r="T634" s="183"/>
    </row>
    <row r="635" spans="1:20" ht="11.25">
      <c r="A635" s="175" t="s">
        <v>303</v>
      </c>
      <c r="B635" s="175">
        <v>20</v>
      </c>
      <c r="C635" s="176" t="s">
        <v>341</v>
      </c>
      <c r="D635" s="176" t="s">
        <v>380</v>
      </c>
      <c r="E635" s="177" t="s">
        <v>323</v>
      </c>
      <c r="F635" s="177"/>
      <c r="G635" s="176" t="s">
        <v>360</v>
      </c>
      <c r="H635" s="178" t="s">
        <v>325</v>
      </c>
      <c r="I635" s="175" t="s">
        <v>231</v>
      </c>
      <c r="J635" s="179" t="s">
        <v>352</v>
      </c>
      <c r="K635" s="179"/>
      <c r="L635" s="176" t="s">
        <v>381</v>
      </c>
      <c r="M635" s="180">
        <f t="shared" si="39"/>
        <v>5123625.885500004</v>
      </c>
      <c r="N635" s="181">
        <v>0</v>
      </c>
      <c r="O635" s="181">
        <v>0</v>
      </c>
      <c r="P635" s="181">
        <v>0</v>
      </c>
      <c r="Q635" s="181">
        <v>0</v>
      </c>
      <c r="R635" s="181">
        <f t="shared" si="40"/>
        <v>614481.1651088977</v>
      </c>
      <c r="S635" s="182">
        <f t="shared" si="38"/>
        <v>4509144.720391106</v>
      </c>
      <c r="T635" s="183"/>
    </row>
    <row r="636" spans="1:20" ht="11.25">
      <c r="A636" s="175" t="s">
        <v>265</v>
      </c>
      <c r="B636" s="175">
        <v>0</v>
      </c>
      <c r="C636" s="176" t="s">
        <v>469</v>
      </c>
      <c r="D636" s="176" t="s">
        <v>347</v>
      </c>
      <c r="E636" s="176" t="s">
        <v>329</v>
      </c>
      <c r="F636" s="176"/>
      <c r="G636" s="176" t="s">
        <v>324</v>
      </c>
      <c r="H636" s="178" t="s">
        <v>325</v>
      </c>
      <c r="I636" s="175" t="s">
        <v>231</v>
      </c>
      <c r="J636" s="179" t="s">
        <v>326</v>
      </c>
      <c r="K636" s="179"/>
      <c r="L636" s="176" t="s">
        <v>382</v>
      </c>
      <c r="M636" s="180">
        <v>48384</v>
      </c>
      <c r="N636" s="181">
        <v>0</v>
      </c>
      <c r="O636" s="181">
        <v>0</v>
      </c>
      <c r="P636" s="181">
        <f aca="true" t="shared" si="41" ref="P636:P677">M636</f>
        <v>48384</v>
      </c>
      <c r="Q636" s="181">
        <v>0</v>
      </c>
      <c r="R636" s="181">
        <v>0</v>
      </c>
      <c r="S636" s="182">
        <f t="shared" si="38"/>
        <v>0</v>
      </c>
      <c r="T636" s="183"/>
    </row>
    <row r="637" spans="1:20" ht="11.25">
      <c r="A637" s="175" t="s">
        <v>267</v>
      </c>
      <c r="B637" s="175">
        <v>1</v>
      </c>
      <c r="C637" s="176" t="s">
        <v>469</v>
      </c>
      <c r="D637" s="176" t="s">
        <v>347</v>
      </c>
      <c r="E637" s="176" t="s">
        <v>329</v>
      </c>
      <c r="F637" s="176"/>
      <c r="G637" s="176" t="s">
        <v>324</v>
      </c>
      <c r="H637" s="178" t="s">
        <v>325</v>
      </c>
      <c r="I637" s="175" t="s">
        <v>231</v>
      </c>
      <c r="J637" s="179" t="s">
        <v>352</v>
      </c>
      <c r="K637" s="179"/>
      <c r="L637" s="176" t="s">
        <v>382</v>
      </c>
      <c r="M637" s="180">
        <v>60000</v>
      </c>
      <c r="N637" s="181">
        <v>0</v>
      </c>
      <c r="O637" s="181">
        <v>0</v>
      </c>
      <c r="P637" s="181">
        <f t="shared" si="41"/>
        <v>60000</v>
      </c>
      <c r="Q637" s="181">
        <v>0</v>
      </c>
      <c r="R637" s="181">
        <v>0</v>
      </c>
      <c r="S637" s="182">
        <f t="shared" si="38"/>
        <v>0</v>
      </c>
      <c r="T637" s="183"/>
    </row>
    <row r="638" spans="1:20" ht="11.25">
      <c r="A638" s="175" t="s">
        <v>268</v>
      </c>
      <c r="B638" s="175">
        <v>2</v>
      </c>
      <c r="C638" s="176" t="s">
        <v>469</v>
      </c>
      <c r="D638" s="176" t="s">
        <v>347</v>
      </c>
      <c r="E638" s="176" t="s">
        <v>329</v>
      </c>
      <c r="F638" s="176"/>
      <c r="G638" s="176" t="s">
        <v>324</v>
      </c>
      <c r="H638" s="178" t="s">
        <v>325</v>
      </c>
      <c r="I638" s="175" t="s">
        <v>231</v>
      </c>
      <c r="J638" s="179" t="s">
        <v>352</v>
      </c>
      <c r="K638" s="179"/>
      <c r="L638" s="176" t="s">
        <v>382</v>
      </c>
      <c r="M638" s="180">
        <f aca="true" t="shared" si="42" ref="M638:M656">IF(J638="Y",M637*(1+$C$4),IF(J638="I",M637*(1+$E$4),M637))</f>
        <v>61499.99999999999</v>
      </c>
      <c r="N638" s="181">
        <v>0</v>
      </c>
      <c r="O638" s="181">
        <v>0</v>
      </c>
      <c r="P638" s="181">
        <f t="shared" si="41"/>
        <v>61499.99999999999</v>
      </c>
      <c r="Q638" s="181">
        <v>0</v>
      </c>
      <c r="R638" s="181">
        <v>0</v>
      </c>
      <c r="S638" s="182">
        <f t="shared" si="38"/>
        <v>0</v>
      </c>
      <c r="T638" s="183"/>
    </row>
    <row r="639" spans="1:20" ht="11.25">
      <c r="A639" s="175" t="s">
        <v>269</v>
      </c>
      <c r="B639" s="175">
        <v>3</v>
      </c>
      <c r="C639" s="176" t="s">
        <v>469</v>
      </c>
      <c r="D639" s="176" t="s">
        <v>347</v>
      </c>
      <c r="E639" s="176" t="s">
        <v>329</v>
      </c>
      <c r="F639" s="176"/>
      <c r="G639" s="176" t="s">
        <v>324</v>
      </c>
      <c r="H639" s="178" t="s">
        <v>325</v>
      </c>
      <c r="I639" s="175" t="s">
        <v>231</v>
      </c>
      <c r="J639" s="179" t="s">
        <v>352</v>
      </c>
      <c r="K639" s="179"/>
      <c r="L639" s="176" t="s">
        <v>382</v>
      </c>
      <c r="M639" s="180">
        <f t="shared" si="42"/>
        <v>63037.499999999985</v>
      </c>
      <c r="N639" s="181">
        <v>0</v>
      </c>
      <c r="O639" s="181">
        <v>0</v>
      </c>
      <c r="P639" s="181">
        <f t="shared" si="41"/>
        <v>63037.499999999985</v>
      </c>
      <c r="Q639" s="181">
        <v>0</v>
      </c>
      <c r="R639" s="181">
        <v>0</v>
      </c>
      <c r="S639" s="182">
        <f t="shared" si="38"/>
        <v>0</v>
      </c>
      <c r="T639" s="183"/>
    </row>
    <row r="640" spans="1:20" ht="11.25">
      <c r="A640" s="175" t="s">
        <v>270</v>
      </c>
      <c r="B640" s="175">
        <v>4</v>
      </c>
      <c r="C640" s="176" t="s">
        <v>469</v>
      </c>
      <c r="D640" s="176" t="s">
        <v>347</v>
      </c>
      <c r="E640" s="176" t="s">
        <v>329</v>
      </c>
      <c r="F640" s="176"/>
      <c r="G640" s="176" t="s">
        <v>324</v>
      </c>
      <c r="H640" s="178" t="s">
        <v>325</v>
      </c>
      <c r="I640" s="175" t="s">
        <v>231</v>
      </c>
      <c r="J640" s="179" t="s">
        <v>352</v>
      </c>
      <c r="K640" s="179"/>
      <c r="L640" s="176" t="s">
        <v>382</v>
      </c>
      <c r="M640" s="180">
        <f t="shared" si="42"/>
        <v>64613.43749999998</v>
      </c>
      <c r="N640" s="181">
        <v>0</v>
      </c>
      <c r="O640" s="181">
        <v>0</v>
      </c>
      <c r="P640" s="181">
        <f t="shared" si="41"/>
        <v>64613.43749999998</v>
      </c>
      <c r="Q640" s="181">
        <v>0</v>
      </c>
      <c r="R640" s="181">
        <v>0</v>
      </c>
      <c r="S640" s="182">
        <f t="shared" si="38"/>
        <v>0</v>
      </c>
      <c r="T640" s="183"/>
    </row>
    <row r="641" spans="1:20" ht="11.25">
      <c r="A641" s="175" t="s">
        <v>271</v>
      </c>
      <c r="B641" s="175">
        <v>5</v>
      </c>
      <c r="C641" s="176" t="s">
        <v>469</v>
      </c>
      <c r="D641" s="176" t="s">
        <v>347</v>
      </c>
      <c r="E641" s="176" t="s">
        <v>329</v>
      </c>
      <c r="F641" s="176"/>
      <c r="G641" s="176" t="s">
        <v>324</v>
      </c>
      <c r="H641" s="178" t="s">
        <v>325</v>
      </c>
      <c r="I641" s="175" t="s">
        <v>231</v>
      </c>
      <c r="J641" s="179" t="s">
        <v>352</v>
      </c>
      <c r="K641" s="179"/>
      <c r="L641" s="176" t="s">
        <v>382</v>
      </c>
      <c r="M641" s="180">
        <f t="shared" si="42"/>
        <v>66228.77343749997</v>
      </c>
      <c r="N641" s="181">
        <v>0</v>
      </c>
      <c r="O641" s="181">
        <v>0</v>
      </c>
      <c r="P641" s="181">
        <f t="shared" si="41"/>
        <v>66228.77343749997</v>
      </c>
      <c r="Q641" s="181">
        <v>0</v>
      </c>
      <c r="R641" s="181">
        <v>0</v>
      </c>
      <c r="S641" s="182">
        <f t="shared" si="38"/>
        <v>0</v>
      </c>
      <c r="T641" s="183"/>
    </row>
    <row r="642" spans="1:20" ht="11.25">
      <c r="A642" s="175" t="s">
        <v>272</v>
      </c>
      <c r="B642" s="175">
        <v>6</v>
      </c>
      <c r="C642" s="176" t="s">
        <v>469</v>
      </c>
      <c r="D642" s="176" t="s">
        <v>347</v>
      </c>
      <c r="E642" s="176" t="s">
        <v>329</v>
      </c>
      <c r="F642" s="176"/>
      <c r="G642" s="176" t="s">
        <v>324</v>
      </c>
      <c r="H642" s="178" t="s">
        <v>325</v>
      </c>
      <c r="I642" s="175" t="s">
        <v>231</v>
      </c>
      <c r="J642" s="179" t="s">
        <v>352</v>
      </c>
      <c r="K642" s="179"/>
      <c r="L642" s="176" t="s">
        <v>382</v>
      </c>
      <c r="M642" s="180">
        <f t="shared" si="42"/>
        <v>67884.49277343747</v>
      </c>
      <c r="N642" s="181">
        <v>0</v>
      </c>
      <c r="O642" s="181">
        <v>0</v>
      </c>
      <c r="P642" s="181">
        <f t="shared" si="41"/>
        <v>67884.49277343747</v>
      </c>
      <c r="Q642" s="181">
        <v>0</v>
      </c>
      <c r="R642" s="181">
        <v>0</v>
      </c>
      <c r="S642" s="182">
        <f t="shared" si="38"/>
        <v>0</v>
      </c>
      <c r="T642" s="183"/>
    </row>
    <row r="643" spans="1:20" ht="11.25">
      <c r="A643" s="175" t="s">
        <v>273</v>
      </c>
      <c r="B643" s="175">
        <v>7</v>
      </c>
      <c r="C643" s="176" t="s">
        <v>469</v>
      </c>
      <c r="D643" s="176" t="s">
        <v>347</v>
      </c>
      <c r="E643" s="176" t="s">
        <v>329</v>
      </c>
      <c r="F643" s="176"/>
      <c r="G643" s="176" t="s">
        <v>324</v>
      </c>
      <c r="H643" s="178" t="s">
        <v>325</v>
      </c>
      <c r="I643" s="175" t="s">
        <v>231</v>
      </c>
      <c r="J643" s="179" t="s">
        <v>352</v>
      </c>
      <c r="K643" s="179"/>
      <c r="L643" s="176" t="s">
        <v>382</v>
      </c>
      <c r="M643" s="180">
        <f t="shared" si="42"/>
        <v>69581.60509277339</v>
      </c>
      <c r="N643" s="181">
        <v>0</v>
      </c>
      <c r="O643" s="181">
        <v>0</v>
      </c>
      <c r="P643" s="181">
        <f t="shared" si="41"/>
        <v>69581.60509277339</v>
      </c>
      <c r="Q643" s="181">
        <v>0</v>
      </c>
      <c r="R643" s="181">
        <v>0</v>
      </c>
      <c r="S643" s="182">
        <f t="shared" si="38"/>
        <v>0</v>
      </c>
      <c r="T643" s="183"/>
    </row>
    <row r="644" spans="1:20" ht="11.25">
      <c r="A644" s="175" t="s">
        <v>274</v>
      </c>
      <c r="B644" s="175">
        <v>8</v>
      </c>
      <c r="C644" s="176" t="s">
        <v>469</v>
      </c>
      <c r="D644" s="176" t="s">
        <v>347</v>
      </c>
      <c r="E644" s="176" t="s">
        <v>329</v>
      </c>
      <c r="F644" s="176"/>
      <c r="G644" s="176" t="s">
        <v>324</v>
      </c>
      <c r="H644" s="178" t="s">
        <v>325</v>
      </c>
      <c r="I644" s="175" t="s">
        <v>231</v>
      </c>
      <c r="J644" s="179" t="s">
        <v>352</v>
      </c>
      <c r="K644" s="179"/>
      <c r="L644" s="176" t="s">
        <v>382</v>
      </c>
      <c r="M644" s="180">
        <f t="shared" si="42"/>
        <v>71321.14522009272</v>
      </c>
      <c r="N644" s="181">
        <v>0</v>
      </c>
      <c r="O644" s="181">
        <v>0</v>
      </c>
      <c r="P644" s="181">
        <f t="shared" si="41"/>
        <v>71321.14522009272</v>
      </c>
      <c r="Q644" s="181">
        <v>0</v>
      </c>
      <c r="R644" s="181">
        <v>0</v>
      </c>
      <c r="S644" s="182">
        <f t="shared" si="38"/>
        <v>0</v>
      </c>
      <c r="T644" s="183"/>
    </row>
    <row r="645" spans="1:20" ht="11.25">
      <c r="A645" s="175" t="s">
        <v>275</v>
      </c>
      <c r="B645" s="175">
        <v>9</v>
      </c>
      <c r="C645" s="176" t="s">
        <v>469</v>
      </c>
      <c r="D645" s="176" t="s">
        <v>347</v>
      </c>
      <c r="E645" s="176" t="s">
        <v>329</v>
      </c>
      <c r="F645" s="176"/>
      <c r="G645" s="176" t="s">
        <v>324</v>
      </c>
      <c r="H645" s="178" t="s">
        <v>325</v>
      </c>
      <c r="I645" s="175" t="s">
        <v>231</v>
      </c>
      <c r="J645" s="179" t="s">
        <v>352</v>
      </c>
      <c r="K645" s="179"/>
      <c r="L645" s="176" t="s">
        <v>382</v>
      </c>
      <c r="M645" s="180">
        <f t="shared" si="42"/>
        <v>73104.17385059503</v>
      </c>
      <c r="N645" s="181">
        <v>0</v>
      </c>
      <c r="O645" s="181">
        <v>0</v>
      </c>
      <c r="P645" s="181">
        <f t="shared" si="41"/>
        <v>73104.17385059503</v>
      </c>
      <c r="Q645" s="181">
        <v>0</v>
      </c>
      <c r="R645" s="181">
        <v>0</v>
      </c>
      <c r="S645" s="182">
        <f t="shared" si="38"/>
        <v>0</v>
      </c>
      <c r="T645" s="183"/>
    </row>
    <row r="646" spans="1:20" ht="11.25">
      <c r="A646" s="175" t="s">
        <v>276</v>
      </c>
      <c r="B646" s="175">
        <v>10</v>
      </c>
      <c r="C646" s="176" t="s">
        <v>469</v>
      </c>
      <c r="D646" s="176" t="s">
        <v>347</v>
      </c>
      <c r="E646" s="176" t="s">
        <v>329</v>
      </c>
      <c r="F646" s="176"/>
      <c r="G646" s="176" t="s">
        <v>324</v>
      </c>
      <c r="H646" s="178" t="s">
        <v>325</v>
      </c>
      <c r="I646" s="175" t="s">
        <v>231</v>
      </c>
      <c r="J646" s="179" t="s">
        <v>352</v>
      </c>
      <c r="K646" s="179"/>
      <c r="L646" s="176" t="s">
        <v>382</v>
      </c>
      <c r="M646" s="180">
        <f t="shared" si="42"/>
        <v>74931.7781968599</v>
      </c>
      <c r="N646" s="181">
        <v>0</v>
      </c>
      <c r="O646" s="181">
        <v>0</v>
      </c>
      <c r="P646" s="181">
        <f t="shared" si="41"/>
        <v>74931.7781968599</v>
      </c>
      <c r="Q646" s="181">
        <v>0</v>
      </c>
      <c r="R646" s="181">
        <v>0</v>
      </c>
      <c r="S646" s="182">
        <f t="shared" si="38"/>
        <v>0</v>
      </c>
      <c r="T646" s="183"/>
    </row>
    <row r="647" spans="1:20" ht="11.25">
      <c r="A647" s="175" t="s">
        <v>277</v>
      </c>
      <c r="B647" s="175">
        <v>11</v>
      </c>
      <c r="C647" s="176" t="s">
        <v>469</v>
      </c>
      <c r="D647" s="176" t="s">
        <v>347</v>
      </c>
      <c r="E647" s="176" t="s">
        <v>329</v>
      </c>
      <c r="F647" s="176"/>
      <c r="G647" s="176" t="s">
        <v>324</v>
      </c>
      <c r="H647" s="178" t="s">
        <v>325</v>
      </c>
      <c r="I647" s="175" t="s">
        <v>231</v>
      </c>
      <c r="J647" s="179" t="s">
        <v>352</v>
      </c>
      <c r="K647" s="179"/>
      <c r="L647" s="176" t="s">
        <v>382</v>
      </c>
      <c r="M647" s="180">
        <f t="shared" si="42"/>
        <v>76805.07265178139</v>
      </c>
      <c r="N647" s="181">
        <v>0</v>
      </c>
      <c r="O647" s="181">
        <v>0</v>
      </c>
      <c r="P647" s="181">
        <f t="shared" si="41"/>
        <v>76805.07265178139</v>
      </c>
      <c r="Q647" s="181">
        <v>0</v>
      </c>
      <c r="R647" s="181">
        <v>0</v>
      </c>
      <c r="S647" s="182">
        <f t="shared" si="38"/>
        <v>0</v>
      </c>
      <c r="T647" s="183"/>
    </row>
    <row r="648" spans="1:20" ht="11.25">
      <c r="A648" s="175" t="s">
        <v>278</v>
      </c>
      <c r="B648" s="175">
        <v>12</v>
      </c>
      <c r="C648" s="176" t="s">
        <v>469</v>
      </c>
      <c r="D648" s="176" t="s">
        <v>347</v>
      </c>
      <c r="E648" s="176" t="s">
        <v>329</v>
      </c>
      <c r="F648" s="176"/>
      <c r="G648" s="176" t="s">
        <v>324</v>
      </c>
      <c r="H648" s="178" t="s">
        <v>325</v>
      </c>
      <c r="I648" s="175" t="s">
        <v>231</v>
      </c>
      <c r="J648" s="179" t="s">
        <v>352</v>
      </c>
      <c r="K648" s="179"/>
      <c r="L648" s="176" t="s">
        <v>382</v>
      </c>
      <c r="M648" s="180">
        <f t="shared" si="42"/>
        <v>78725.19946807592</v>
      </c>
      <c r="N648" s="181">
        <v>0</v>
      </c>
      <c r="O648" s="181">
        <v>0</v>
      </c>
      <c r="P648" s="181">
        <f t="shared" si="41"/>
        <v>78725.19946807592</v>
      </c>
      <c r="Q648" s="181">
        <v>0</v>
      </c>
      <c r="R648" s="181">
        <v>0</v>
      </c>
      <c r="S648" s="182">
        <f t="shared" si="38"/>
        <v>0</v>
      </c>
      <c r="T648" s="183"/>
    </row>
    <row r="649" spans="1:20" ht="11.25">
      <c r="A649" s="175" t="s">
        <v>279</v>
      </c>
      <c r="B649" s="175">
        <v>13</v>
      </c>
      <c r="C649" s="176" t="s">
        <v>469</v>
      </c>
      <c r="D649" s="176" t="s">
        <v>347</v>
      </c>
      <c r="E649" s="176" t="s">
        <v>329</v>
      </c>
      <c r="F649" s="176"/>
      <c r="G649" s="176" t="s">
        <v>324</v>
      </c>
      <c r="H649" s="178" t="s">
        <v>325</v>
      </c>
      <c r="I649" s="175" t="s">
        <v>231</v>
      </c>
      <c r="J649" s="179" t="s">
        <v>352</v>
      </c>
      <c r="K649" s="179"/>
      <c r="L649" s="176" t="s">
        <v>382</v>
      </c>
      <c r="M649" s="180">
        <f t="shared" si="42"/>
        <v>80693.32945477782</v>
      </c>
      <c r="N649" s="181">
        <v>0</v>
      </c>
      <c r="O649" s="181">
        <v>0</v>
      </c>
      <c r="P649" s="181">
        <f t="shared" si="41"/>
        <v>80693.32945477782</v>
      </c>
      <c r="Q649" s="181">
        <v>0</v>
      </c>
      <c r="R649" s="181">
        <v>0</v>
      </c>
      <c r="S649" s="182">
        <f t="shared" si="38"/>
        <v>0</v>
      </c>
      <c r="T649" s="183"/>
    </row>
    <row r="650" spans="1:20" ht="11.25">
      <c r="A650" s="175" t="s">
        <v>280</v>
      </c>
      <c r="B650" s="175">
        <v>14</v>
      </c>
      <c r="C650" s="176" t="s">
        <v>469</v>
      </c>
      <c r="D650" s="176" t="s">
        <v>347</v>
      </c>
      <c r="E650" s="176" t="s">
        <v>329</v>
      </c>
      <c r="F650" s="176"/>
      <c r="G650" s="176" t="s">
        <v>324</v>
      </c>
      <c r="H650" s="178" t="s">
        <v>325</v>
      </c>
      <c r="I650" s="175" t="s">
        <v>231</v>
      </c>
      <c r="J650" s="179" t="s">
        <v>352</v>
      </c>
      <c r="K650" s="179"/>
      <c r="L650" s="176" t="s">
        <v>382</v>
      </c>
      <c r="M650" s="180">
        <f t="shared" si="42"/>
        <v>82710.66269114726</v>
      </c>
      <c r="N650" s="181">
        <v>0</v>
      </c>
      <c r="O650" s="181">
        <v>0</v>
      </c>
      <c r="P650" s="181">
        <f t="shared" si="41"/>
        <v>82710.66269114726</v>
      </c>
      <c r="Q650" s="181">
        <v>0</v>
      </c>
      <c r="R650" s="181">
        <v>0</v>
      </c>
      <c r="S650" s="182">
        <f t="shared" si="38"/>
        <v>0</v>
      </c>
      <c r="T650" s="183"/>
    </row>
    <row r="651" spans="1:20" ht="11.25">
      <c r="A651" s="175" t="s">
        <v>281</v>
      </c>
      <c r="B651" s="175">
        <v>15</v>
      </c>
      <c r="C651" s="176" t="s">
        <v>469</v>
      </c>
      <c r="D651" s="176" t="s">
        <v>347</v>
      </c>
      <c r="E651" s="176" t="s">
        <v>329</v>
      </c>
      <c r="F651" s="176"/>
      <c r="G651" s="176" t="s">
        <v>324</v>
      </c>
      <c r="H651" s="178" t="s">
        <v>325</v>
      </c>
      <c r="I651" s="175" t="s">
        <v>231</v>
      </c>
      <c r="J651" s="179" t="s">
        <v>352</v>
      </c>
      <c r="K651" s="179"/>
      <c r="L651" s="176" t="s">
        <v>382</v>
      </c>
      <c r="M651" s="180">
        <f t="shared" si="42"/>
        <v>84778.42925842592</v>
      </c>
      <c r="N651" s="181">
        <v>0</v>
      </c>
      <c r="O651" s="181">
        <v>0</v>
      </c>
      <c r="P651" s="181">
        <f t="shared" si="41"/>
        <v>84778.42925842592</v>
      </c>
      <c r="Q651" s="181">
        <v>0</v>
      </c>
      <c r="R651" s="181">
        <v>0</v>
      </c>
      <c r="S651" s="182">
        <f t="shared" si="38"/>
        <v>0</v>
      </c>
      <c r="T651" s="183"/>
    </row>
    <row r="652" spans="1:20" ht="11.25">
      <c r="A652" s="175" t="s">
        <v>282</v>
      </c>
      <c r="B652" s="175">
        <v>16</v>
      </c>
      <c r="C652" s="176" t="s">
        <v>469</v>
      </c>
      <c r="D652" s="176" t="s">
        <v>347</v>
      </c>
      <c r="E652" s="176" t="s">
        <v>329</v>
      </c>
      <c r="F652" s="176"/>
      <c r="G652" s="176" t="s">
        <v>324</v>
      </c>
      <c r="H652" s="178" t="s">
        <v>325</v>
      </c>
      <c r="I652" s="175" t="s">
        <v>231</v>
      </c>
      <c r="J652" s="179" t="s">
        <v>352</v>
      </c>
      <c r="K652" s="179"/>
      <c r="L652" s="176" t="s">
        <v>382</v>
      </c>
      <c r="M652" s="180">
        <f t="shared" si="42"/>
        <v>86897.88998988656</v>
      </c>
      <c r="N652" s="181">
        <v>0</v>
      </c>
      <c r="O652" s="181">
        <v>0</v>
      </c>
      <c r="P652" s="181">
        <f t="shared" si="41"/>
        <v>86897.88998988656</v>
      </c>
      <c r="Q652" s="181">
        <v>0</v>
      </c>
      <c r="R652" s="181">
        <v>0</v>
      </c>
      <c r="S652" s="182">
        <f t="shared" si="38"/>
        <v>0</v>
      </c>
      <c r="T652" s="183"/>
    </row>
    <row r="653" spans="1:20" ht="11.25">
      <c r="A653" s="175" t="s">
        <v>283</v>
      </c>
      <c r="B653" s="175">
        <v>17</v>
      </c>
      <c r="C653" s="176" t="s">
        <v>469</v>
      </c>
      <c r="D653" s="176" t="s">
        <v>347</v>
      </c>
      <c r="E653" s="176" t="s">
        <v>329</v>
      </c>
      <c r="F653" s="176"/>
      <c r="G653" s="176" t="s">
        <v>324</v>
      </c>
      <c r="H653" s="178" t="s">
        <v>325</v>
      </c>
      <c r="I653" s="175" t="s">
        <v>231</v>
      </c>
      <c r="J653" s="179" t="s">
        <v>352</v>
      </c>
      <c r="K653" s="179"/>
      <c r="L653" s="176" t="s">
        <v>382</v>
      </c>
      <c r="M653" s="180">
        <f t="shared" si="42"/>
        <v>89070.33723963372</v>
      </c>
      <c r="N653" s="181">
        <v>0</v>
      </c>
      <c r="O653" s="181">
        <v>0</v>
      </c>
      <c r="P653" s="181">
        <f t="shared" si="41"/>
        <v>89070.33723963372</v>
      </c>
      <c r="Q653" s="181">
        <v>0</v>
      </c>
      <c r="R653" s="181">
        <v>0</v>
      </c>
      <c r="S653" s="182">
        <f t="shared" si="38"/>
        <v>0</v>
      </c>
      <c r="T653" s="183"/>
    </row>
    <row r="654" spans="1:20" ht="11.25">
      <c r="A654" s="175" t="s">
        <v>284</v>
      </c>
      <c r="B654" s="175">
        <v>18</v>
      </c>
      <c r="C654" s="176" t="s">
        <v>469</v>
      </c>
      <c r="D654" s="176" t="s">
        <v>347</v>
      </c>
      <c r="E654" s="176" t="s">
        <v>329</v>
      </c>
      <c r="F654" s="176"/>
      <c r="G654" s="176" t="s">
        <v>324</v>
      </c>
      <c r="H654" s="178" t="s">
        <v>325</v>
      </c>
      <c r="I654" s="175" t="s">
        <v>231</v>
      </c>
      <c r="J654" s="179" t="s">
        <v>352</v>
      </c>
      <c r="K654" s="179"/>
      <c r="L654" s="176" t="s">
        <v>382</v>
      </c>
      <c r="M654" s="180">
        <f t="shared" si="42"/>
        <v>91297.09567062456</v>
      </c>
      <c r="N654" s="181">
        <v>0</v>
      </c>
      <c r="O654" s="181">
        <v>0</v>
      </c>
      <c r="P654" s="181">
        <f t="shared" si="41"/>
        <v>91297.09567062456</v>
      </c>
      <c r="Q654" s="181">
        <v>0</v>
      </c>
      <c r="R654" s="181">
        <v>0</v>
      </c>
      <c r="S654" s="182">
        <f t="shared" si="38"/>
        <v>0</v>
      </c>
      <c r="T654" s="183"/>
    </row>
    <row r="655" spans="1:20" ht="11.25">
      <c r="A655" s="175" t="s">
        <v>285</v>
      </c>
      <c r="B655" s="175">
        <v>19</v>
      </c>
      <c r="C655" s="176" t="s">
        <v>469</v>
      </c>
      <c r="D655" s="176" t="s">
        <v>347</v>
      </c>
      <c r="E655" s="176" t="s">
        <v>329</v>
      </c>
      <c r="F655" s="176"/>
      <c r="G655" s="176" t="s">
        <v>324</v>
      </c>
      <c r="H655" s="178" t="s">
        <v>325</v>
      </c>
      <c r="I655" s="175" t="s">
        <v>231</v>
      </c>
      <c r="J655" s="179" t="s">
        <v>352</v>
      </c>
      <c r="K655" s="179"/>
      <c r="L655" s="176" t="s">
        <v>382</v>
      </c>
      <c r="M655" s="180">
        <f t="shared" si="42"/>
        <v>93579.52306239017</v>
      </c>
      <c r="N655" s="181">
        <v>0</v>
      </c>
      <c r="O655" s="181">
        <v>0</v>
      </c>
      <c r="P655" s="181">
        <f t="shared" si="41"/>
        <v>93579.52306239017</v>
      </c>
      <c r="Q655" s="181">
        <v>0</v>
      </c>
      <c r="R655" s="181">
        <v>0</v>
      </c>
      <c r="S655" s="182">
        <f t="shared" si="38"/>
        <v>0</v>
      </c>
      <c r="T655" s="183"/>
    </row>
    <row r="656" spans="1:20" ht="11.25">
      <c r="A656" s="175" t="s">
        <v>303</v>
      </c>
      <c r="B656" s="175">
        <v>20</v>
      </c>
      <c r="C656" s="176" t="s">
        <v>469</v>
      </c>
      <c r="D656" s="176" t="s">
        <v>347</v>
      </c>
      <c r="E656" s="176" t="s">
        <v>329</v>
      </c>
      <c r="F656" s="176"/>
      <c r="G656" s="176" t="s">
        <v>324</v>
      </c>
      <c r="H656" s="178" t="s">
        <v>325</v>
      </c>
      <c r="I656" s="175" t="s">
        <v>231</v>
      </c>
      <c r="J656" s="179" t="s">
        <v>352</v>
      </c>
      <c r="K656" s="179"/>
      <c r="L656" s="176" t="s">
        <v>382</v>
      </c>
      <c r="M656" s="180">
        <f t="shared" si="42"/>
        <v>95919.01113894992</v>
      </c>
      <c r="N656" s="181">
        <v>0</v>
      </c>
      <c r="O656" s="181">
        <v>0</v>
      </c>
      <c r="P656" s="181">
        <f t="shared" si="41"/>
        <v>95919.01113894992</v>
      </c>
      <c r="Q656" s="181">
        <v>0</v>
      </c>
      <c r="R656" s="181">
        <v>0</v>
      </c>
      <c r="S656" s="182">
        <f t="shared" si="38"/>
        <v>0</v>
      </c>
      <c r="T656" s="183"/>
    </row>
    <row r="657" spans="1:20" ht="11.25">
      <c r="A657" s="175" t="s">
        <v>265</v>
      </c>
      <c r="B657" s="175">
        <v>0</v>
      </c>
      <c r="C657" s="176" t="s">
        <v>469</v>
      </c>
      <c r="D657" s="176" t="s">
        <v>347</v>
      </c>
      <c r="E657" s="176" t="s">
        <v>329</v>
      </c>
      <c r="F657" s="176"/>
      <c r="G657" s="176" t="s">
        <v>360</v>
      </c>
      <c r="H657" s="178" t="s">
        <v>325</v>
      </c>
      <c r="I657" s="175" t="s">
        <v>231</v>
      </c>
      <c r="J657" s="179" t="s">
        <v>326</v>
      </c>
      <c r="K657" s="179"/>
      <c r="L657" s="176" t="s">
        <v>383</v>
      </c>
      <c r="M657" s="180">
        <v>270400</v>
      </c>
      <c r="N657" s="181">
        <v>0</v>
      </c>
      <c r="O657" s="181">
        <v>0</v>
      </c>
      <c r="P657" s="181">
        <f t="shared" si="41"/>
        <v>270400</v>
      </c>
      <c r="Q657" s="181">
        <v>0</v>
      </c>
      <c r="R657" s="181">
        <v>0</v>
      </c>
      <c r="S657" s="182">
        <f t="shared" si="38"/>
        <v>0</v>
      </c>
      <c r="T657" s="183"/>
    </row>
    <row r="658" spans="1:20" ht="11.25">
      <c r="A658" s="175" t="s">
        <v>267</v>
      </c>
      <c r="B658" s="175">
        <v>1</v>
      </c>
      <c r="C658" s="176" t="s">
        <v>469</v>
      </c>
      <c r="D658" s="176" t="s">
        <v>347</v>
      </c>
      <c r="E658" s="176" t="s">
        <v>329</v>
      </c>
      <c r="F658" s="176"/>
      <c r="G658" s="176" t="s">
        <v>360</v>
      </c>
      <c r="H658" s="178" t="s">
        <v>325</v>
      </c>
      <c r="I658" s="175" t="s">
        <v>231</v>
      </c>
      <c r="J658" s="179" t="s">
        <v>352</v>
      </c>
      <c r="K658" s="179"/>
      <c r="L658" s="176" t="s">
        <v>383</v>
      </c>
      <c r="M658" s="180">
        <f>IF(J658="Y",M657*(1+$F$4),IF(J658="I",M657*(1+$E$4),M657))</f>
        <v>277160</v>
      </c>
      <c r="N658" s="181">
        <v>0</v>
      </c>
      <c r="O658" s="181">
        <v>0</v>
      </c>
      <c r="P658" s="181">
        <f t="shared" si="41"/>
        <v>277160</v>
      </c>
      <c r="Q658" s="181">
        <v>0</v>
      </c>
      <c r="R658" s="181">
        <v>0</v>
      </c>
      <c r="S658" s="182">
        <f t="shared" si="38"/>
        <v>0</v>
      </c>
      <c r="T658" s="183"/>
    </row>
    <row r="659" spans="1:20" ht="11.25">
      <c r="A659" s="175" t="s">
        <v>268</v>
      </c>
      <c r="B659" s="175">
        <v>2</v>
      </c>
      <c r="C659" s="176" t="s">
        <v>469</v>
      </c>
      <c r="D659" s="176" t="s">
        <v>347</v>
      </c>
      <c r="E659" s="176" t="s">
        <v>329</v>
      </c>
      <c r="F659" s="176"/>
      <c r="G659" s="176" t="s">
        <v>360</v>
      </c>
      <c r="H659" s="178" t="s">
        <v>325</v>
      </c>
      <c r="I659" s="175" t="s">
        <v>231</v>
      </c>
      <c r="J659" s="179" t="s">
        <v>352</v>
      </c>
      <c r="K659" s="179"/>
      <c r="L659" s="176" t="s">
        <v>383</v>
      </c>
      <c r="M659" s="180">
        <f aca="true" t="shared" si="43" ref="M659:M719">IF(J659="Y",M658*(1+$C$4),IF(J659="I",M658*(1+$E$4),M658))</f>
        <v>284089</v>
      </c>
      <c r="N659" s="181">
        <v>0</v>
      </c>
      <c r="O659" s="181">
        <v>0</v>
      </c>
      <c r="P659" s="181">
        <f t="shared" si="41"/>
        <v>284089</v>
      </c>
      <c r="Q659" s="181">
        <v>0</v>
      </c>
      <c r="R659" s="181">
        <v>0</v>
      </c>
      <c r="S659" s="182">
        <f t="shared" si="38"/>
        <v>0</v>
      </c>
      <c r="T659" s="183"/>
    </row>
    <row r="660" spans="1:20" ht="11.25">
      <c r="A660" s="175" t="s">
        <v>269</v>
      </c>
      <c r="B660" s="175">
        <v>3</v>
      </c>
      <c r="C660" s="176" t="s">
        <v>469</v>
      </c>
      <c r="D660" s="176" t="s">
        <v>347</v>
      </c>
      <c r="E660" s="176" t="s">
        <v>329</v>
      </c>
      <c r="F660" s="176"/>
      <c r="G660" s="176" t="s">
        <v>360</v>
      </c>
      <c r="H660" s="178" t="s">
        <v>325</v>
      </c>
      <c r="I660" s="175" t="s">
        <v>231</v>
      </c>
      <c r="J660" s="179" t="s">
        <v>352</v>
      </c>
      <c r="K660" s="179"/>
      <c r="L660" s="176" t="s">
        <v>383</v>
      </c>
      <c r="M660" s="180">
        <f t="shared" si="43"/>
        <v>291191.225</v>
      </c>
      <c r="N660" s="181">
        <v>0</v>
      </c>
      <c r="O660" s="181">
        <v>0</v>
      </c>
      <c r="P660" s="181">
        <f t="shared" si="41"/>
        <v>291191.225</v>
      </c>
      <c r="Q660" s="181">
        <v>0</v>
      </c>
      <c r="R660" s="181">
        <v>0</v>
      </c>
      <c r="S660" s="182">
        <f t="shared" si="38"/>
        <v>0</v>
      </c>
      <c r="T660" s="183"/>
    </row>
    <row r="661" spans="1:20" ht="11.25">
      <c r="A661" s="175" t="s">
        <v>270</v>
      </c>
      <c r="B661" s="175">
        <v>4</v>
      </c>
      <c r="C661" s="176" t="s">
        <v>469</v>
      </c>
      <c r="D661" s="176" t="s">
        <v>347</v>
      </c>
      <c r="E661" s="176" t="s">
        <v>329</v>
      </c>
      <c r="F661" s="176"/>
      <c r="G661" s="176" t="s">
        <v>360</v>
      </c>
      <c r="H661" s="178" t="s">
        <v>325</v>
      </c>
      <c r="I661" s="175" t="s">
        <v>231</v>
      </c>
      <c r="J661" s="179" t="s">
        <v>352</v>
      </c>
      <c r="K661" s="179"/>
      <c r="L661" s="176" t="s">
        <v>383</v>
      </c>
      <c r="M661" s="180">
        <f t="shared" si="43"/>
        <v>298471.00562499993</v>
      </c>
      <c r="N661" s="181">
        <v>0</v>
      </c>
      <c r="O661" s="181">
        <v>0</v>
      </c>
      <c r="P661" s="181">
        <f t="shared" si="41"/>
        <v>298471.00562499993</v>
      </c>
      <c r="Q661" s="181">
        <v>0</v>
      </c>
      <c r="R661" s="181">
        <v>0</v>
      </c>
      <c r="S661" s="182">
        <f t="shared" si="38"/>
        <v>0</v>
      </c>
      <c r="T661" s="183"/>
    </row>
    <row r="662" spans="1:20" ht="11.25">
      <c r="A662" s="175" t="s">
        <v>271</v>
      </c>
      <c r="B662" s="175">
        <v>5</v>
      </c>
      <c r="C662" s="176" t="s">
        <v>469</v>
      </c>
      <c r="D662" s="176" t="s">
        <v>347</v>
      </c>
      <c r="E662" s="176" t="s">
        <v>329</v>
      </c>
      <c r="F662" s="176"/>
      <c r="G662" s="176" t="s">
        <v>360</v>
      </c>
      <c r="H662" s="178" t="s">
        <v>325</v>
      </c>
      <c r="I662" s="175" t="s">
        <v>231</v>
      </c>
      <c r="J662" s="179" t="s">
        <v>352</v>
      </c>
      <c r="K662" s="179"/>
      <c r="L662" s="176" t="s">
        <v>383</v>
      </c>
      <c r="M662" s="180">
        <f t="shared" si="43"/>
        <v>305932.7807656249</v>
      </c>
      <c r="N662" s="181">
        <v>0</v>
      </c>
      <c r="O662" s="181">
        <v>0</v>
      </c>
      <c r="P662" s="181">
        <f t="shared" si="41"/>
        <v>305932.7807656249</v>
      </c>
      <c r="Q662" s="181">
        <v>0</v>
      </c>
      <c r="R662" s="181">
        <v>0</v>
      </c>
      <c r="S662" s="182">
        <f t="shared" si="38"/>
        <v>0</v>
      </c>
      <c r="T662" s="183"/>
    </row>
    <row r="663" spans="1:20" ht="11.25">
      <c r="A663" s="175" t="s">
        <v>272</v>
      </c>
      <c r="B663" s="175">
        <v>6</v>
      </c>
      <c r="C663" s="176" t="s">
        <v>469</v>
      </c>
      <c r="D663" s="176" t="s">
        <v>347</v>
      </c>
      <c r="E663" s="176" t="s">
        <v>329</v>
      </c>
      <c r="F663" s="176"/>
      <c r="G663" s="176" t="s">
        <v>360</v>
      </c>
      <c r="H663" s="178" t="s">
        <v>325</v>
      </c>
      <c r="I663" s="175" t="s">
        <v>231</v>
      </c>
      <c r="J663" s="179" t="s">
        <v>352</v>
      </c>
      <c r="K663" s="179"/>
      <c r="L663" s="176" t="s">
        <v>383</v>
      </c>
      <c r="M663" s="180">
        <f t="shared" si="43"/>
        <v>313581.1002847655</v>
      </c>
      <c r="N663" s="181">
        <v>0</v>
      </c>
      <c r="O663" s="181">
        <v>0</v>
      </c>
      <c r="P663" s="181">
        <f t="shared" si="41"/>
        <v>313581.1002847655</v>
      </c>
      <c r="Q663" s="181">
        <v>0</v>
      </c>
      <c r="R663" s="181">
        <v>0</v>
      </c>
      <c r="S663" s="182">
        <f t="shared" si="38"/>
        <v>0</v>
      </c>
      <c r="T663" s="183"/>
    </row>
    <row r="664" spans="1:20" ht="11.25">
      <c r="A664" s="175" t="s">
        <v>273</v>
      </c>
      <c r="B664" s="175">
        <v>7</v>
      </c>
      <c r="C664" s="176" t="s">
        <v>469</v>
      </c>
      <c r="D664" s="176" t="s">
        <v>347</v>
      </c>
      <c r="E664" s="176" t="s">
        <v>329</v>
      </c>
      <c r="F664" s="176"/>
      <c r="G664" s="176" t="s">
        <v>360</v>
      </c>
      <c r="H664" s="178" t="s">
        <v>325</v>
      </c>
      <c r="I664" s="175" t="s">
        <v>231</v>
      </c>
      <c r="J664" s="179" t="s">
        <v>352</v>
      </c>
      <c r="K664" s="179"/>
      <c r="L664" s="176" t="s">
        <v>383</v>
      </c>
      <c r="M664" s="180">
        <f t="shared" si="43"/>
        <v>321420.6277918846</v>
      </c>
      <c r="N664" s="181">
        <v>0</v>
      </c>
      <c r="O664" s="181">
        <v>0</v>
      </c>
      <c r="P664" s="181">
        <f t="shared" si="41"/>
        <v>321420.6277918846</v>
      </c>
      <c r="Q664" s="181">
        <v>0</v>
      </c>
      <c r="R664" s="181">
        <v>0</v>
      </c>
      <c r="S664" s="182">
        <f t="shared" si="38"/>
        <v>0</v>
      </c>
      <c r="T664" s="183"/>
    </row>
    <row r="665" spans="1:20" ht="11.25">
      <c r="A665" s="175" t="s">
        <v>274</v>
      </c>
      <c r="B665" s="175">
        <v>8</v>
      </c>
      <c r="C665" s="176" t="s">
        <v>469</v>
      </c>
      <c r="D665" s="176" t="s">
        <v>347</v>
      </c>
      <c r="E665" s="176" t="s">
        <v>329</v>
      </c>
      <c r="F665" s="176"/>
      <c r="G665" s="176" t="s">
        <v>360</v>
      </c>
      <c r="H665" s="178" t="s">
        <v>325</v>
      </c>
      <c r="I665" s="175" t="s">
        <v>231</v>
      </c>
      <c r="J665" s="179" t="s">
        <v>352</v>
      </c>
      <c r="K665" s="179"/>
      <c r="L665" s="176" t="s">
        <v>383</v>
      </c>
      <c r="M665" s="180">
        <f t="shared" si="43"/>
        <v>329456.1434866817</v>
      </c>
      <c r="N665" s="181">
        <v>0</v>
      </c>
      <c r="O665" s="181">
        <v>0</v>
      </c>
      <c r="P665" s="181">
        <f t="shared" si="41"/>
        <v>329456.1434866817</v>
      </c>
      <c r="Q665" s="181">
        <v>0</v>
      </c>
      <c r="R665" s="181">
        <v>0</v>
      </c>
      <c r="S665" s="182">
        <f t="shared" si="38"/>
        <v>0</v>
      </c>
      <c r="T665" s="183"/>
    </row>
    <row r="666" spans="1:20" ht="11.25">
      <c r="A666" s="175" t="s">
        <v>275</v>
      </c>
      <c r="B666" s="175">
        <v>9</v>
      </c>
      <c r="C666" s="176" t="s">
        <v>469</v>
      </c>
      <c r="D666" s="176" t="s">
        <v>347</v>
      </c>
      <c r="E666" s="176" t="s">
        <v>329</v>
      </c>
      <c r="F666" s="176"/>
      <c r="G666" s="176" t="s">
        <v>360</v>
      </c>
      <c r="H666" s="178" t="s">
        <v>325</v>
      </c>
      <c r="I666" s="175" t="s">
        <v>231</v>
      </c>
      <c r="J666" s="179" t="s">
        <v>352</v>
      </c>
      <c r="K666" s="179"/>
      <c r="L666" s="176" t="s">
        <v>383</v>
      </c>
      <c r="M666" s="180">
        <f t="shared" si="43"/>
        <v>337692.5470738487</v>
      </c>
      <c r="N666" s="181">
        <v>0</v>
      </c>
      <c r="O666" s="181">
        <v>0</v>
      </c>
      <c r="P666" s="181">
        <f t="shared" si="41"/>
        <v>337692.5470738487</v>
      </c>
      <c r="Q666" s="181">
        <v>0</v>
      </c>
      <c r="R666" s="181">
        <v>0</v>
      </c>
      <c r="S666" s="182">
        <f t="shared" si="38"/>
        <v>0</v>
      </c>
      <c r="T666" s="183"/>
    </row>
    <row r="667" spans="1:20" ht="11.25">
      <c r="A667" s="175" t="s">
        <v>276</v>
      </c>
      <c r="B667" s="175">
        <v>10</v>
      </c>
      <c r="C667" s="176" t="s">
        <v>469</v>
      </c>
      <c r="D667" s="176" t="s">
        <v>347</v>
      </c>
      <c r="E667" s="176" t="s">
        <v>329</v>
      </c>
      <c r="F667" s="176"/>
      <c r="G667" s="176" t="s">
        <v>360</v>
      </c>
      <c r="H667" s="178" t="s">
        <v>325</v>
      </c>
      <c r="I667" s="175" t="s">
        <v>231</v>
      </c>
      <c r="J667" s="179" t="s">
        <v>352</v>
      </c>
      <c r="K667" s="179"/>
      <c r="L667" s="176" t="s">
        <v>383</v>
      </c>
      <c r="M667" s="180">
        <f t="shared" si="43"/>
        <v>346134.86075069493</v>
      </c>
      <c r="N667" s="181">
        <v>0</v>
      </c>
      <c r="O667" s="181">
        <v>0</v>
      </c>
      <c r="P667" s="181">
        <f t="shared" si="41"/>
        <v>346134.86075069493</v>
      </c>
      <c r="Q667" s="181">
        <v>0</v>
      </c>
      <c r="R667" s="181">
        <v>0</v>
      </c>
      <c r="S667" s="182">
        <f aca="true" t="shared" si="44" ref="S667:S730">M667-SUM(N667:R667)</f>
        <v>0</v>
      </c>
      <c r="T667" s="183"/>
    </row>
    <row r="668" spans="1:20" ht="11.25">
      <c r="A668" s="175" t="s">
        <v>277</v>
      </c>
      <c r="B668" s="175">
        <v>11</v>
      </c>
      <c r="C668" s="176" t="s">
        <v>469</v>
      </c>
      <c r="D668" s="176" t="s">
        <v>347</v>
      </c>
      <c r="E668" s="176" t="s">
        <v>329</v>
      </c>
      <c r="F668" s="176"/>
      <c r="G668" s="176" t="s">
        <v>360</v>
      </c>
      <c r="H668" s="178" t="s">
        <v>325</v>
      </c>
      <c r="I668" s="175" t="s">
        <v>231</v>
      </c>
      <c r="J668" s="179" t="s">
        <v>352</v>
      </c>
      <c r="K668" s="179"/>
      <c r="L668" s="176" t="s">
        <v>383</v>
      </c>
      <c r="M668" s="180">
        <f t="shared" si="43"/>
        <v>354788.23226946226</v>
      </c>
      <c r="N668" s="181">
        <v>0</v>
      </c>
      <c r="O668" s="181">
        <v>0</v>
      </c>
      <c r="P668" s="181">
        <f t="shared" si="41"/>
        <v>354788.23226946226</v>
      </c>
      <c r="Q668" s="181">
        <v>0</v>
      </c>
      <c r="R668" s="181">
        <v>0</v>
      </c>
      <c r="S668" s="182">
        <f t="shared" si="44"/>
        <v>0</v>
      </c>
      <c r="T668" s="183"/>
    </row>
    <row r="669" spans="1:20" ht="11.25">
      <c r="A669" s="175" t="s">
        <v>278</v>
      </c>
      <c r="B669" s="175">
        <v>12</v>
      </c>
      <c r="C669" s="176" t="s">
        <v>469</v>
      </c>
      <c r="D669" s="176" t="s">
        <v>347</v>
      </c>
      <c r="E669" s="176" t="s">
        <v>329</v>
      </c>
      <c r="F669" s="176"/>
      <c r="G669" s="176" t="s">
        <v>360</v>
      </c>
      <c r="H669" s="178" t="s">
        <v>325</v>
      </c>
      <c r="I669" s="175" t="s">
        <v>231</v>
      </c>
      <c r="J669" s="179" t="s">
        <v>352</v>
      </c>
      <c r="K669" s="179"/>
      <c r="L669" s="176" t="s">
        <v>383</v>
      </c>
      <c r="M669" s="180">
        <f t="shared" si="43"/>
        <v>363657.9380761988</v>
      </c>
      <c r="N669" s="181">
        <v>0</v>
      </c>
      <c r="O669" s="181">
        <v>0</v>
      </c>
      <c r="P669" s="181">
        <f t="shared" si="41"/>
        <v>363657.9380761988</v>
      </c>
      <c r="Q669" s="181">
        <v>0</v>
      </c>
      <c r="R669" s="181">
        <v>0</v>
      </c>
      <c r="S669" s="182">
        <f t="shared" si="44"/>
        <v>0</v>
      </c>
      <c r="T669" s="183"/>
    </row>
    <row r="670" spans="1:20" ht="11.25">
      <c r="A670" s="175" t="s">
        <v>279</v>
      </c>
      <c r="B670" s="175">
        <v>13</v>
      </c>
      <c r="C670" s="176" t="s">
        <v>469</v>
      </c>
      <c r="D670" s="176" t="s">
        <v>347</v>
      </c>
      <c r="E670" s="176" t="s">
        <v>329</v>
      </c>
      <c r="F670" s="176"/>
      <c r="G670" s="176" t="s">
        <v>360</v>
      </c>
      <c r="H670" s="178" t="s">
        <v>325</v>
      </c>
      <c r="I670" s="175" t="s">
        <v>231</v>
      </c>
      <c r="J670" s="179" t="s">
        <v>352</v>
      </c>
      <c r="K670" s="179"/>
      <c r="L670" s="176" t="s">
        <v>383</v>
      </c>
      <c r="M670" s="180">
        <f t="shared" si="43"/>
        <v>372749.3865281037</v>
      </c>
      <c r="N670" s="181">
        <v>0</v>
      </c>
      <c r="O670" s="181">
        <v>0</v>
      </c>
      <c r="P670" s="181">
        <f t="shared" si="41"/>
        <v>372749.3865281037</v>
      </c>
      <c r="Q670" s="181">
        <v>0</v>
      </c>
      <c r="R670" s="181">
        <v>0</v>
      </c>
      <c r="S670" s="182">
        <f t="shared" si="44"/>
        <v>0</v>
      </c>
      <c r="T670" s="183"/>
    </row>
    <row r="671" spans="1:20" ht="11.25">
      <c r="A671" s="175" t="s">
        <v>280</v>
      </c>
      <c r="B671" s="175">
        <v>14</v>
      </c>
      <c r="C671" s="176" t="s">
        <v>469</v>
      </c>
      <c r="D671" s="176" t="s">
        <v>347</v>
      </c>
      <c r="E671" s="176" t="s">
        <v>329</v>
      </c>
      <c r="F671" s="176"/>
      <c r="G671" s="176" t="s">
        <v>360</v>
      </c>
      <c r="H671" s="178" t="s">
        <v>325</v>
      </c>
      <c r="I671" s="175" t="s">
        <v>231</v>
      </c>
      <c r="J671" s="179" t="s">
        <v>352</v>
      </c>
      <c r="K671" s="179"/>
      <c r="L671" s="176" t="s">
        <v>383</v>
      </c>
      <c r="M671" s="180">
        <f t="shared" si="43"/>
        <v>382068.1211913063</v>
      </c>
      <c r="N671" s="181">
        <v>0</v>
      </c>
      <c r="O671" s="181">
        <v>0</v>
      </c>
      <c r="P671" s="181">
        <f t="shared" si="41"/>
        <v>382068.1211913063</v>
      </c>
      <c r="Q671" s="181">
        <v>0</v>
      </c>
      <c r="R671" s="181">
        <v>0</v>
      </c>
      <c r="S671" s="182">
        <f t="shared" si="44"/>
        <v>0</v>
      </c>
      <c r="T671" s="183"/>
    </row>
    <row r="672" spans="1:20" ht="11.25">
      <c r="A672" s="175" t="s">
        <v>281</v>
      </c>
      <c r="B672" s="175">
        <v>15</v>
      </c>
      <c r="C672" s="176" t="s">
        <v>469</v>
      </c>
      <c r="D672" s="176" t="s">
        <v>347</v>
      </c>
      <c r="E672" s="176" t="s">
        <v>329</v>
      </c>
      <c r="F672" s="176"/>
      <c r="G672" s="176" t="s">
        <v>360</v>
      </c>
      <c r="H672" s="178" t="s">
        <v>325</v>
      </c>
      <c r="I672" s="175" t="s">
        <v>231</v>
      </c>
      <c r="J672" s="179" t="s">
        <v>352</v>
      </c>
      <c r="K672" s="179"/>
      <c r="L672" s="176" t="s">
        <v>383</v>
      </c>
      <c r="M672" s="180">
        <f t="shared" si="43"/>
        <v>391619.8242210889</v>
      </c>
      <c r="N672" s="181">
        <v>0</v>
      </c>
      <c r="O672" s="181">
        <v>0</v>
      </c>
      <c r="P672" s="181">
        <f t="shared" si="41"/>
        <v>391619.8242210889</v>
      </c>
      <c r="Q672" s="181">
        <v>0</v>
      </c>
      <c r="R672" s="181">
        <v>0</v>
      </c>
      <c r="S672" s="182">
        <f t="shared" si="44"/>
        <v>0</v>
      </c>
      <c r="T672" s="183"/>
    </row>
    <row r="673" spans="1:20" ht="11.25">
      <c r="A673" s="175" t="s">
        <v>282</v>
      </c>
      <c r="B673" s="175">
        <v>16</v>
      </c>
      <c r="C673" s="176" t="s">
        <v>469</v>
      </c>
      <c r="D673" s="176" t="s">
        <v>347</v>
      </c>
      <c r="E673" s="176" t="s">
        <v>329</v>
      </c>
      <c r="F673" s="176"/>
      <c r="G673" s="176" t="s">
        <v>360</v>
      </c>
      <c r="H673" s="178" t="s">
        <v>325</v>
      </c>
      <c r="I673" s="175" t="s">
        <v>231</v>
      </c>
      <c r="J673" s="179" t="s">
        <v>352</v>
      </c>
      <c r="K673" s="179"/>
      <c r="L673" s="176" t="s">
        <v>383</v>
      </c>
      <c r="M673" s="180">
        <f t="shared" si="43"/>
        <v>401410.3198266161</v>
      </c>
      <c r="N673" s="181">
        <v>0</v>
      </c>
      <c r="O673" s="181">
        <v>0</v>
      </c>
      <c r="P673" s="181">
        <f t="shared" si="41"/>
        <v>401410.3198266161</v>
      </c>
      <c r="Q673" s="181">
        <v>0</v>
      </c>
      <c r="R673" s="181">
        <v>0</v>
      </c>
      <c r="S673" s="182">
        <f t="shared" si="44"/>
        <v>0</v>
      </c>
      <c r="T673" s="183"/>
    </row>
    <row r="674" spans="1:20" ht="11.25">
      <c r="A674" s="175" t="s">
        <v>283</v>
      </c>
      <c r="B674" s="175">
        <v>17</v>
      </c>
      <c r="C674" s="176" t="s">
        <v>469</v>
      </c>
      <c r="D674" s="176" t="s">
        <v>347</v>
      </c>
      <c r="E674" s="176" t="s">
        <v>329</v>
      </c>
      <c r="F674" s="176"/>
      <c r="G674" s="176" t="s">
        <v>360</v>
      </c>
      <c r="H674" s="178" t="s">
        <v>325</v>
      </c>
      <c r="I674" s="175" t="s">
        <v>231</v>
      </c>
      <c r="J674" s="179" t="s">
        <v>352</v>
      </c>
      <c r="K674" s="179"/>
      <c r="L674" s="176" t="s">
        <v>383</v>
      </c>
      <c r="M674" s="180">
        <f t="shared" si="43"/>
        <v>411445.57782228146</v>
      </c>
      <c r="N674" s="181">
        <v>0</v>
      </c>
      <c r="O674" s="181">
        <v>0</v>
      </c>
      <c r="P674" s="181">
        <f t="shared" si="41"/>
        <v>411445.57782228146</v>
      </c>
      <c r="Q674" s="181">
        <v>0</v>
      </c>
      <c r="R674" s="181">
        <v>0</v>
      </c>
      <c r="S674" s="182">
        <f t="shared" si="44"/>
        <v>0</v>
      </c>
      <c r="T674" s="183"/>
    </row>
    <row r="675" spans="1:20" ht="11.25">
      <c r="A675" s="175" t="s">
        <v>284</v>
      </c>
      <c r="B675" s="175">
        <v>18</v>
      </c>
      <c r="C675" s="176" t="s">
        <v>469</v>
      </c>
      <c r="D675" s="176" t="s">
        <v>347</v>
      </c>
      <c r="E675" s="176" t="s">
        <v>329</v>
      </c>
      <c r="F675" s="176"/>
      <c r="G675" s="176" t="s">
        <v>360</v>
      </c>
      <c r="H675" s="178" t="s">
        <v>325</v>
      </c>
      <c r="I675" s="175" t="s">
        <v>231</v>
      </c>
      <c r="J675" s="179" t="s">
        <v>352</v>
      </c>
      <c r="K675" s="179"/>
      <c r="L675" s="176" t="s">
        <v>383</v>
      </c>
      <c r="M675" s="180">
        <f t="shared" si="43"/>
        <v>421731.7172678385</v>
      </c>
      <c r="N675" s="181">
        <v>0</v>
      </c>
      <c r="O675" s="181">
        <v>0</v>
      </c>
      <c r="P675" s="181">
        <f t="shared" si="41"/>
        <v>421731.7172678385</v>
      </c>
      <c r="Q675" s="181">
        <v>0</v>
      </c>
      <c r="R675" s="181">
        <v>0</v>
      </c>
      <c r="S675" s="182">
        <f t="shared" si="44"/>
        <v>0</v>
      </c>
      <c r="T675" s="183"/>
    </row>
    <row r="676" spans="1:20" ht="11.25">
      <c r="A676" s="175" t="s">
        <v>285</v>
      </c>
      <c r="B676" s="175">
        <v>19</v>
      </c>
      <c r="C676" s="176" t="s">
        <v>469</v>
      </c>
      <c r="D676" s="176" t="s">
        <v>347</v>
      </c>
      <c r="E676" s="176" t="s">
        <v>329</v>
      </c>
      <c r="F676" s="176"/>
      <c r="G676" s="176" t="s">
        <v>360</v>
      </c>
      <c r="H676" s="178" t="s">
        <v>325</v>
      </c>
      <c r="I676" s="175" t="s">
        <v>231</v>
      </c>
      <c r="J676" s="179" t="s">
        <v>352</v>
      </c>
      <c r="K676" s="179"/>
      <c r="L676" s="176" t="s">
        <v>383</v>
      </c>
      <c r="M676" s="180">
        <f t="shared" si="43"/>
        <v>432275.0101995344</v>
      </c>
      <c r="N676" s="181">
        <v>0</v>
      </c>
      <c r="O676" s="181">
        <v>0</v>
      </c>
      <c r="P676" s="181">
        <f t="shared" si="41"/>
        <v>432275.0101995344</v>
      </c>
      <c r="Q676" s="181">
        <v>0</v>
      </c>
      <c r="R676" s="181">
        <v>0</v>
      </c>
      <c r="S676" s="182">
        <f t="shared" si="44"/>
        <v>0</v>
      </c>
      <c r="T676" s="183"/>
    </row>
    <row r="677" spans="1:20" ht="11.25">
      <c r="A677" s="175" t="s">
        <v>303</v>
      </c>
      <c r="B677" s="175">
        <v>20</v>
      </c>
      <c r="C677" s="176" t="s">
        <v>469</v>
      </c>
      <c r="D677" s="176" t="s">
        <v>347</v>
      </c>
      <c r="E677" s="176" t="s">
        <v>329</v>
      </c>
      <c r="F677" s="176"/>
      <c r="G677" s="176" t="s">
        <v>360</v>
      </c>
      <c r="H677" s="178" t="s">
        <v>325</v>
      </c>
      <c r="I677" s="175" t="s">
        <v>231</v>
      </c>
      <c r="J677" s="179" t="s">
        <v>352</v>
      </c>
      <c r="K677" s="179"/>
      <c r="L677" s="176" t="s">
        <v>383</v>
      </c>
      <c r="M677" s="180">
        <f t="shared" si="43"/>
        <v>443081.88545452274</v>
      </c>
      <c r="N677" s="181">
        <v>0</v>
      </c>
      <c r="O677" s="181">
        <v>0</v>
      </c>
      <c r="P677" s="181">
        <f t="shared" si="41"/>
        <v>443081.88545452274</v>
      </c>
      <c r="Q677" s="181">
        <v>0</v>
      </c>
      <c r="R677" s="181">
        <v>0</v>
      </c>
      <c r="S677" s="182">
        <f t="shared" si="44"/>
        <v>0</v>
      </c>
      <c r="T677" s="183"/>
    </row>
    <row r="678" spans="1:20" ht="11.25">
      <c r="A678" s="175" t="s">
        <v>265</v>
      </c>
      <c r="B678" s="175">
        <v>0</v>
      </c>
      <c r="C678" s="176" t="s">
        <v>384</v>
      </c>
      <c r="D678" s="176" t="s">
        <v>385</v>
      </c>
      <c r="E678" s="176" t="s">
        <v>338</v>
      </c>
      <c r="F678" s="176"/>
      <c r="G678" s="176" t="s">
        <v>334</v>
      </c>
      <c r="H678" s="178" t="s">
        <v>325</v>
      </c>
      <c r="I678" s="175" t="s">
        <v>231</v>
      </c>
      <c r="J678" s="179" t="s">
        <v>326</v>
      </c>
      <c r="K678" s="179"/>
      <c r="L678" s="176" t="s">
        <v>386</v>
      </c>
      <c r="M678" s="180">
        <v>108160</v>
      </c>
      <c r="N678" s="181">
        <v>0</v>
      </c>
      <c r="O678" s="181">
        <v>0</v>
      </c>
      <c r="P678" s="181">
        <v>0</v>
      </c>
      <c r="Q678" s="181">
        <v>0</v>
      </c>
      <c r="R678" s="181">
        <v>0</v>
      </c>
      <c r="S678" s="182">
        <f t="shared" si="44"/>
        <v>108160</v>
      </c>
      <c r="T678" s="183"/>
    </row>
    <row r="679" spans="1:20" ht="11.25">
      <c r="A679" s="175" t="s">
        <v>267</v>
      </c>
      <c r="B679" s="175">
        <v>1</v>
      </c>
      <c r="C679" s="176" t="s">
        <v>384</v>
      </c>
      <c r="D679" s="176" t="s">
        <v>385</v>
      </c>
      <c r="E679" s="176" t="s">
        <v>338</v>
      </c>
      <c r="F679" s="176"/>
      <c r="G679" s="176" t="s">
        <v>334</v>
      </c>
      <c r="H679" s="178" t="s">
        <v>325</v>
      </c>
      <c r="I679" s="175" t="s">
        <v>231</v>
      </c>
      <c r="J679" s="179" t="s">
        <v>352</v>
      </c>
      <c r="K679" s="179"/>
      <c r="L679" s="176" t="s">
        <v>386</v>
      </c>
      <c r="M679" s="180">
        <f>IF(J679="Y",M678*(1+$F$4),IF(J679="I",M678*(1+$E$4),M678))</f>
        <v>110863.99999999999</v>
      </c>
      <c r="N679" s="181">
        <v>0</v>
      </c>
      <c r="O679" s="181">
        <v>0</v>
      </c>
      <c r="P679" s="181">
        <v>0</v>
      </c>
      <c r="Q679" s="181">
        <v>0</v>
      </c>
      <c r="R679" s="181">
        <v>0</v>
      </c>
      <c r="S679" s="182">
        <f t="shared" si="44"/>
        <v>110863.99999999999</v>
      </c>
      <c r="T679" s="183"/>
    </row>
    <row r="680" spans="1:20" ht="11.25">
      <c r="A680" s="175" t="s">
        <v>268</v>
      </c>
      <c r="B680" s="175">
        <v>2</v>
      </c>
      <c r="C680" s="176" t="s">
        <v>384</v>
      </c>
      <c r="D680" s="176" t="s">
        <v>385</v>
      </c>
      <c r="E680" s="176" t="s">
        <v>338</v>
      </c>
      <c r="F680" s="176"/>
      <c r="G680" s="176" t="s">
        <v>334</v>
      </c>
      <c r="H680" s="178" t="s">
        <v>325</v>
      </c>
      <c r="I680" s="175" t="s">
        <v>231</v>
      </c>
      <c r="J680" s="179" t="s">
        <v>352</v>
      </c>
      <c r="K680" s="179"/>
      <c r="L680" s="176" t="s">
        <v>386</v>
      </c>
      <c r="M680" s="180">
        <f t="shared" si="43"/>
        <v>113635.59999999998</v>
      </c>
      <c r="N680" s="181">
        <v>0</v>
      </c>
      <c r="O680" s="181">
        <v>0</v>
      </c>
      <c r="P680" s="181">
        <v>0</v>
      </c>
      <c r="Q680" s="181">
        <v>0</v>
      </c>
      <c r="R680" s="181">
        <v>0</v>
      </c>
      <c r="S680" s="182">
        <f t="shared" si="44"/>
        <v>113635.59999999998</v>
      </c>
      <c r="T680" s="183"/>
    </row>
    <row r="681" spans="1:20" ht="11.25">
      <c r="A681" s="175" t="s">
        <v>269</v>
      </c>
      <c r="B681" s="175">
        <v>3</v>
      </c>
      <c r="C681" s="176" t="s">
        <v>384</v>
      </c>
      <c r="D681" s="176" t="s">
        <v>385</v>
      </c>
      <c r="E681" s="176" t="s">
        <v>338</v>
      </c>
      <c r="F681" s="176"/>
      <c r="G681" s="176" t="s">
        <v>334</v>
      </c>
      <c r="H681" s="178" t="s">
        <v>325</v>
      </c>
      <c r="I681" s="175" t="s">
        <v>231</v>
      </c>
      <c r="J681" s="179" t="s">
        <v>352</v>
      </c>
      <c r="K681" s="179"/>
      <c r="L681" s="176" t="s">
        <v>386</v>
      </c>
      <c r="M681" s="180">
        <f t="shared" si="43"/>
        <v>116476.48999999996</v>
      </c>
      <c r="N681" s="181">
        <v>0</v>
      </c>
      <c r="O681" s="181">
        <v>0</v>
      </c>
      <c r="P681" s="181">
        <v>0</v>
      </c>
      <c r="Q681" s="181">
        <v>0</v>
      </c>
      <c r="R681" s="181">
        <v>0</v>
      </c>
      <c r="S681" s="182">
        <f t="shared" si="44"/>
        <v>116476.48999999996</v>
      </c>
      <c r="T681" s="183"/>
    </row>
    <row r="682" spans="1:20" ht="11.25">
      <c r="A682" s="175" t="s">
        <v>270</v>
      </c>
      <c r="B682" s="175">
        <v>4</v>
      </c>
      <c r="C682" s="176" t="s">
        <v>384</v>
      </c>
      <c r="D682" s="176" t="s">
        <v>385</v>
      </c>
      <c r="E682" s="176" t="s">
        <v>338</v>
      </c>
      <c r="F682" s="176"/>
      <c r="G682" s="176" t="s">
        <v>334</v>
      </c>
      <c r="H682" s="178" t="s">
        <v>325</v>
      </c>
      <c r="I682" s="175" t="s">
        <v>231</v>
      </c>
      <c r="J682" s="179" t="s">
        <v>352</v>
      </c>
      <c r="K682" s="179"/>
      <c r="L682" s="176" t="s">
        <v>386</v>
      </c>
      <c r="M682" s="180">
        <f t="shared" si="43"/>
        <v>119388.40224999996</v>
      </c>
      <c r="N682" s="181">
        <v>0</v>
      </c>
      <c r="O682" s="181">
        <v>0</v>
      </c>
      <c r="P682" s="181">
        <v>0</v>
      </c>
      <c r="Q682" s="181">
        <v>0</v>
      </c>
      <c r="R682" s="181">
        <v>0</v>
      </c>
      <c r="S682" s="182">
        <f t="shared" si="44"/>
        <v>119388.40224999996</v>
      </c>
      <c r="T682" s="183"/>
    </row>
    <row r="683" spans="1:20" ht="11.25">
      <c r="A683" s="175" t="s">
        <v>271</v>
      </c>
      <c r="B683" s="175">
        <v>5</v>
      </c>
      <c r="C683" s="176" t="s">
        <v>384</v>
      </c>
      <c r="D683" s="176" t="s">
        <v>385</v>
      </c>
      <c r="E683" s="176" t="s">
        <v>338</v>
      </c>
      <c r="F683" s="176"/>
      <c r="G683" s="176" t="s">
        <v>334</v>
      </c>
      <c r="H683" s="178" t="s">
        <v>325</v>
      </c>
      <c r="I683" s="175" t="s">
        <v>231</v>
      </c>
      <c r="J683" s="179" t="s">
        <v>352</v>
      </c>
      <c r="K683" s="179"/>
      <c r="L683" s="176" t="s">
        <v>386</v>
      </c>
      <c r="M683" s="180">
        <f t="shared" si="43"/>
        <v>122373.11230624994</v>
      </c>
      <c r="N683" s="181">
        <v>0</v>
      </c>
      <c r="O683" s="181">
        <v>0</v>
      </c>
      <c r="P683" s="181">
        <v>0</v>
      </c>
      <c r="Q683" s="181">
        <v>0</v>
      </c>
      <c r="R683" s="181">
        <v>0</v>
      </c>
      <c r="S683" s="182">
        <f t="shared" si="44"/>
        <v>122373.11230624994</v>
      </c>
      <c r="T683" s="183"/>
    </row>
    <row r="684" spans="1:20" ht="11.25">
      <c r="A684" s="175" t="s">
        <v>272</v>
      </c>
      <c r="B684" s="175">
        <v>6</v>
      </c>
      <c r="C684" s="176" t="s">
        <v>384</v>
      </c>
      <c r="D684" s="176" t="s">
        <v>385</v>
      </c>
      <c r="E684" s="176" t="s">
        <v>338</v>
      </c>
      <c r="F684" s="176"/>
      <c r="G684" s="176" t="s">
        <v>334</v>
      </c>
      <c r="H684" s="178" t="s">
        <v>325</v>
      </c>
      <c r="I684" s="175" t="s">
        <v>231</v>
      </c>
      <c r="J684" s="179" t="s">
        <v>352</v>
      </c>
      <c r="K684" s="179"/>
      <c r="L684" s="176" t="s">
        <v>386</v>
      </c>
      <c r="M684" s="180">
        <f t="shared" si="43"/>
        <v>125432.44011390618</v>
      </c>
      <c r="N684" s="181">
        <v>0</v>
      </c>
      <c r="O684" s="181">
        <v>0</v>
      </c>
      <c r="P684" s="181">
        <v>0</v>
      </c>
      <c r="Q684" s="181">
        <v>0</v>
      </c>
      <c r="R684" s="181">
        <v>0</v>
      </c>
      <c r="S684" s="182">
        <f t="shared" si="44"/>
        <v>125432.44011390618</v>
      </c>
      <c r="T684" s="183"/>
    </row>
    <row r="685" spans="1:20" ht="11.25">
      <c r="A685" s="175" t="s">
        <v>273</v>
      </c>
      <c r="B685" s="175">
        <v>7</v>
      </c>
      <c r="C685" s="176" t="s">
        <v>384</v>
      </c>
      <c r="D685" s="176" t="s">
        <v>385</v>
      </c>
      <c r="E685" s="176" t="s">
        <v>338</v>
      </c>
      <c r="F685" s="176"/>
      <c r="G685" s="176" t="s">
        <v>334</v>
      </c>
      <c r="H685" s="178" t="s">
        <v>325</v>
      </c>
      <c r="I685" s="175" t="s">
        <v>231</v>
      </c>
      <c r="J685" s="179" t="s">
        <v>352</v>
      </c>
      <c r="K685" s="179"/>
      <c r="L685" s="176" t="s">
        <v>386</v>
      </c>
      <c r="M685" s="180">
        <f t="shared" si="43"/>
        <v>128568.25111675382</v>
      </c>
      <c r="N685" s="181">
        <v>0</v>
      </c>
      <c r="O685" s="181">
        <v>0</v>
      </c>
      <c r="P685" s="181">
        <v>0</v>
      </c>
      <c r="Q685" s="181">
        <v>0</v>
      </c>
      <c r="R685" s="181">
        <v>0</v>
      </c>
      <c r="S685" s="182">
        <f t="shared" si="44"/>
        <v>128568.25111675382</v>
      </c>
      <c r="T685" s="183"/>
    </row>
    <row r="686" spans="1:20" ht="11.25">
      <c r="A686" s="175" t="s">
        <v>274</v>
      </c>
      <c r="B686" s="175">
        <v>8</v>
      </c>
      <c r="C686" s="176" t="s">
        <v>384</v>
      </c>
      <c r="D686" s="176" t="s">
        <v>385</v>
      </c>
      <c r="E686" s="176" t="s">
        <v>338</v>
      </c>
      <c r="F686" s="176"/>
      <c r="G686" s="176" t="s">
        <v>334</v>
      </c>
      <c r="H686" s="178" t="s">
        <v>325</v>
      </c>
      <c r="I686" s="175" t="s">
        <v>231</v>
      </c>
      <c r="J686" s="179" t="s">
        <v>352</v>
      </c>
      <c r="K686" s="179"/>
      <c r="L686" s="176" t="s">
        <v>386</v>
      </c>
      <c r="M686" s="180">
        <f t="shared" si="43"/>
        <v>131782.45739467265</v>
      </c>
      <c r="N686" s="181">
        <v>0</v>
      </c>
      <c r="O686" s="181">
        <v>0</v>
      </c>
      <c r="P686" s="181">
        <v>0</v>
      </c>
      <c r="Q686" s="181">
        <v>0</v>
      </c>
      <c r="R686" s="181">
        <v>0</v>
      </c>
      <c r="S686" s="182">
        <f t="shared" si="44"/>
        <v>131782.45739467265</v>
      </c>
      <c r="T686" s="183"/>
    </row>
    <row r="687" spans="1:20" ht="11.25">
      <c r="A687" s="175" t="s">
        <v>275</v>
      </c>
      <c r="B687" s="175">
        <v>9</v>
      </c>
      <c r="C687" s="176" t="s">
        <v>384</v>
      </c>
      <c r="D687" s="176" t="s">
        <v>385</v>
      </c>
      <c r="E687" s="176" t="s">
        <v>338</v>
      </c>
      <c r="F687" s="176"/>
      <c r="G687" s="176" t="s">
        <v>334</v>
      </c>
      <c r="H687" s="178" t="s">
        <v>325</v>
      </c>
      <c r="I687" s="175" t="s">
        <v>231</v>
      </c>
      <c r="J687" s="179" t="s">
        <v>352</v>
      </c>
      <c r="K687" s="179"/>
      <c r="L687" s="176" t="s">
        <v>386</v>
      </c>
      <c r="M687" s="180">
        <f t="shared" si="43"/>
        <v>135077.01882953945</v>
      </c>
      <c r="N687" s="181">
        <v>0</v>
      </c>
      <c r="O687" s="181">
        <v>0</v>
      </c>
      <c r="P687" s="181">
        <v>0</v>
      </c>
      <c r="Q687" s="181">
        <v>0</v>
      </c>
      <c r="R687" s="181">
        <v>0</v>
      </c>
      <c r="S687" s="182">
        <f t="shared" si="44"/>
        <v>135077.01882953945</v>
      </c>
      <c r="T687" s="183"/>
    </row>
    <row r="688" spans="1:20" ht="11.25">
      <c r="A688" s="175" t="s">
        <v>276</v>
      </c>
      <c r="B688" s="175">
        <v>10</v>
      </c>
      <c r="C688" s="176" t="s">
        <v>384</v>
      </c>
      <c r="D688" s="176" t="s">
        <v>385</v>
      </c>
      <c r="E688" s="176" t="s">
        <v>338</v>
      </c>
      <c r="F688" s="176"/>
      <c r="G688" s="176" t="s">
        <v>334</v>
      </c>
      <c r="H688" s="178" t="s">
        <v>325</v>
      </c>
      <c r="I688" s="175" t="s">
        <v>231</v>
      </c>
      <c r="J688" s="179" t="s">
        <v>352</v>
      </c>
      <c r="K688" s="179"/>
      <c r="L688" s="176" t="s">
        <v>386</v>
      </c>
      <c r="M688" s="180">
        <f t="shared" si="43"/>
        <v>138453.94430027792</v>
      </c>
      <c r="N688" s="181">
        <v>0</v>
      </c>
      <c r="O688" s="181">
        <v>0</v>
      </c>
      <c r="P688" s="181">
        <v>0</v>
      </c>
      <c r="Q688" s="181">
        <v>0</v>
      </c>
      <c r="R688" s="181">
        <v>0</v>
      </c>
      <c r="S688" s="182">
        <f t="shared" si="44"/>
        <v>138453.94430027792</v>
      </c>
      <c r="T688" s="183"/>
    </row>
    <row r="689" spans="1:20" ht="11.25">
      <c r="A689" s="175" t="s">
        <v>277</v>
      </c>
      <c r="B689" s="175">
        <v>11</v>
      </c>
      <c r="C689" s="176" t="s">
        <v>384</v>
      </c>
      <c r="D689" s="176" t="s">
        <v>385</v>
      </c>
      <c r="E689" s="176" t="s">
        <v>338</v>
      </c>
      <c r="F689" s="176"/>
      <c r="G689" s="176" t="s">
        <v>334</v>
      </c>
      <c r="H689" s="178" t="s">
        <v>325</v>
      </c>
      <c r="I689" s="175" t="s">
        <v>231</v>
      </c>
      <c r="J689" s="179" t="s">
        <v>352</v>
      </c>
      <c r="K689" s="179"/>
      <c r="L689" s="176" t="s">
        <v>386</v>
      </c>
      <c r="M689" s="180">
        <f t="shared" si="43"/>
        <v>141915.29290778484</v>
      </c>
      <c r="N689" s="181">
        <v>0</v>
      </c>
      <c r="O689" s="181">
        <v>0</v>
      </c>
      <c r="P689" s="181">
        <v>0</v>
      </c>
      <c r="Q689" s="181">
        <v>0</v>
      </c>
      <c r="R689" s="181">
        <v>0</v>
      </c>
      <c r="S689" s="182">
        <f t="shared" si="44"/>
        <v>141915.29290778484</v>
      </c>
      <c r="T689" s="183"/>
    </row>
    <row r="690" spans="1:20" ht="11.25">
      <c r="A690" s="175" t="s">
        <v>278</v>
      </c>
      <c r="B690" s="175">
        <v>12</v>
      </c>
      <c r="C690" s="176" t="s">
        <v>384</v>
      </c>
      <c r="D690" s="176" t="s">
        <v>385</v>
      </c>
      <c r="E690" s="176" t="s">
        <v>338</v>
      </c>
      <c r="F690" s="176"/>
      <c r="G690" s="176" t="s">
        <v>334</v>
      </c>
      <c r="H690" s="178" t="s">
        <v>325</v>
      </c>
      <c r="I690" s="175" t="s">
        <v>231</v>
      </c>
      <c r="J690" s="179" t="s">
        <v>352</v>
      </c>
      <c r="K690" s="179"/>
      <c r="L690" s="176" t="s">
        <v>386</v>
      </c>
      <c r="M690" s="180">
        <f t="shared" si="43"/>
        <v>145463.17523047945</v>
      </c>
      <c r="N690" s="181">
        <v>0</v>
      </c>
      <c r="O690" s="181">
        <v>0</v>
      </c>
      <c r="P690" s="181">
        <v>0</v>
      </c>
      <c r="Q690" s="181">
        <v>0</v>
      </c>
      <c r="R690" s="181">
        <v>0</v>
      </c>
      <c r="S690" s="182">
        <f t="shared" si="44"/>
        <v>145463.17523047945</v>
      </c>
      <c r="T690" s="183"/>
    </row>
    <row r="691" spans="1:20" ht="11.25">
      <c r="A691" s="175" t="s">
        <v>279</v>
      </c>
      <c r="B691" s="175">
        <v>13</v>
      </c>
      <c r="C691" s="176" t="s">
        <v>384</v>
      </c>
      <c r="D691" s="176" t="s">
        <v>385</v>
      </c>
      <c r="E691" s="176" t="s">
        <v>338</v>
      </c>
      <c r="F691" s="176"/>
      <c r="G691" s="176" t="s">
        <v>334</v>
      </c>
      <c r="H691" s="178" t="s">
        <v>325</v>
      </c>
      <c r="I691" s="175" t="s">
        <v>231</v>
      </c>
      <c r="J691" s="179" t="s">
        <v>352</v>
      </c>
      <c r="K691" s="179"/>
      <c r="L691" s="176" t="s">
        <v>386</v>
      </c>
      <c r="M691" s="180">
        <f t="shared" si="43"/>
        <v>149099.75461124143</v>
      </c>
      <c r="N691" s="181">
        <v>0</v>
      </c>
      <c r="O691" s="181">
        <v>0</v>
      </c>
      <c r="P691" s="181">
        <v>0</v>
      </c>
      <c r="Q691" s="181">
        <v>0</v>
      </c>
      <c r="R691" s="181">
        <v>0</v>
      </c>
      <c r="S691" s="182">
        <f t="shared" si="44"/>
        <v>149099.75461124143</v>
      </c>
      <c r="T691" s="183"/>
    </row>
    <row r="692" spans="1:20" ht="11.25">
      <c r="A692" s="175" t="s">
        <v>280</v>
      </c>
      <c r="B692" s="175">
        <v>14</v>
      </c>
      <c r="C692" s="176" t="s">
        <v>384</v>
      </c>
      <c r="D692" s="176" t="s">
        <v>385</v>
      </c>
      <c r="E692" s="176" t="s">
        <v>338</v>
      </c>
      <c r="F692" s="176"/>
      <c r="G692" s="176" t="s">
        <v>334</v>
      </c>
      <c r="H692" s="178" t="s">
        <v>325</v>
      </c>
      <c r="I692" s="175" t="s">
        <v>231</v>
      </c>
      <c r="J692" s="179" t="s">
        <v>352</v>
      </c>
      <c r="K692" s="179"/>
      <c r="L692" s="176" t="s">
        <v>386</v>
      </c>
      <c r="M692" s="180">
        <f t="shared" si="43"/>
        <v>152827.24847652245</v>
      </c>
      <c r="N692" s="181">
        <v>0</v>
      </c>
      <c r="O692" s="181">
        <v>0</v>
      </c>
      <c r="P692" s="181">
        <v>0</v>
      </c>
      <c r="Q692" s="181">
        <v>0</v>
      </c>
      <c r="R692" s="181">
        <v>0</v>
      </c>
      <c r="S692" s="182">
        <f t="shared" si="44"/>
        <v>152827.24847652245</v>
      </c>
      <c r="T692" s="183"/>
    </row>
    <row r="693" spans="1:20" ht="11.25">
      <c r="A693" s="175" t="s">
        <v>281</v>
      </c>
      <c r="B693" s="175">
        <v>15</v>
      </c>
      <c r="C693" s="176" t="s">
        <v>384</v>
      </c>
      <c r="D693" s="176" t="s">
        <v>385</v>
      </c>
      <c r="E693" s="176" t="s">
        <v>338</v>
      </c>
      <c r="F693" s="176"/>
      <c r="G693" s="176" t="s">
        <v>334</v>
      </c>
      <c r="H693" s="178" t="s">
        <v>325</v>
      </c>
      <c r="I693" s="175" t="s">
        <v>231</v>
      </c>
      <c r="J693" s="179" t="s">
        <v>352</v>
      </c>
      <c r="K693" s="179"/>
      <c r="L693" s="176" t="s">
        <v>386</v>
      </c>
      <c r="M693" s="180">
        <f t="shared" si="43"/>
        <v>156647.92968843548</v>
      </c>
      <c r="N693" s="181">
        <v>0</v>
      </c>
      <c r="O693" s="181">
        <v>0</v>
      </c>
      <c r="P693" s="181">
        <v>0</v>
      </c>
      <c r="Q693" s="181">
        <v>0</v>
      </c>
      <c r="R693" s="181">
        <v>0</v>
      </c>
      <c r="S693" s="182">
        <f t="shared" si="44"/>
        <v>156647.92968843548</v>
      </c>
      <c r="T693" s="183"/>
    </row>
    <row r="694" spans="1:20" ht="11.25">
      <c r="A694" s="175" t="s">
        <v>282</v>
      </c>
      <c r="B694" s="175">
        <v>16</v>
      </c>
      <c r="C694" s="176" t="s">
        <v>384</v>
      </c>
      <c r="D694" s="176" t="s">
        <v>385</v>
      </c>
      <c r="E694" s="176" t="s">
        <v>338</v>
      </c>
      <c r="F694" s="176"/>
      <c r="G694" s="176" t="s">
        <v>334</v>
      </c>
      <c r="H694" s="178" t="s">
        <v>325</v>
      </c>
      <c r="I694" s="175" t="s">
        <v>231</v>
      </c>
      <c r="J694" s="179" t="s">
        <v>352</v>
      </c>
      <c r="K694" s="179"/>
      <c r="L694" s="176" t="s">
        <v>386</v>
      </c>
      <c r="M694" s="180">
        <f t="shared" si="43"/>
        <v>160564.12793064635</v>
      </c>
      <c r="N694" s="181">
        <v>0</v>
      </c>
      <c r="O694" s="181">
        <v>0</v>
      </c>
      <c r="P694" s="181">
        <v>0</v>
      </c>
      <c r="Q694" s="181">
        <v>0</v>
      </c>
      <c r="R694" s="181">
        <v>0</v>
      </c>
      <c r="S694" s="182">
        <f t="shared" si="44"/>
        <v>160564.12793064635</v>
      </c>
      <c r="T694" s="183"/>
    </row>
    <row r="695" spans="1:20" ht="11.25">
      <c r="A695" s="175" t="s">
        <v>283</v>
      </c>
      <c r="B695" s="175">
        <v>17</v>
      </c>
      <c r="C695" s="176" t="s">
        <v>384</v>
      </c>
      <c r="D695" s="176" t="s">
        <v>385</v>
      </c>
      <c r="E695" s="176" t="s">
        <v>338</v>
      </c>
      <c r="F695" s="176"/>
      <c r="G695" s="176" t="s">
        <v>334</v>
      </c>
      <c r="H695" s="178" t="s">
        <v>325</v>
      </c>
      <c r="I695" s="175" t="s">
        <v>231</v>
      </c>
      <c r="J695" s="179" t="s">
        <v>352</v>
      </c>
      <c r="K695" s="179"/>
      <c r="L695" s="176" t="s">
        <v>386</v>
      </c>
      <c r="M695" s="180">
        <f t="shared" si="43"/>
        <v>164578.2311289125</v>
      </c>
      <c r="N695" s="181">
        <v>0</v>
      </c>
      <c r="O695" s="181">
        <v>0</v>
      </c>
      <c r="P695" s="181">
        <v>0</v>
      </c>
      <c r="Q695" s="181">
        <v>0</v>
      </c>
      <c r="R695" s="181">
        <v>0</v>
      </c>
      <c r="S695" s="182">
        <f t="shared" si="44"/>
        <v>164578.2311289125</v>
      </c>
      <c r="T695" s="183"/>
    </row>
    <row r="696" spans="1:20" ht="11.25">
      <c r="A696" s="175" t="s">
        <v>284</v>
      </c>
      <c r="B696" s="175">
        <v>18</v>
      </c>
      <c r="C696" s="176" t="s">
        <v>384</v>
      </c>
      <c r="D696" s="176" t="s">
        <v>385</v>
      </c>
      <c r="E696" s="176" t="s">
        <v>338</v>
      </c>
      <c r="F696" s="176"/>
      <c r="G696" s="176" t="s">
        <v>334</v>
      </c>
      <c r="H696" s="178" t="s">
        <v>325</v>
      </c>
      <c r="I696" s="175" t="s">
        <v>231</v>
      </c>
      <c r="J696" s="179" t="s">
        <v>352</v>
      </c>
      <c r="K696" s="179"/>
      <c r="L696" s="176" t="s">
        <v>386</v>
      </c>
      <c r="M696" s="180">
        <f t="shared" si="43"/>
        <v>168692.6869071353</v>
      </c>
      <c r="N696" s="181">
        <v>0</v>
      </c>
      <c r="O696" s="181">
        <v>0</v>
      </c>
      <c r="P696" s="181">
        <v>0</v>
      </c>
      <c r="Q696" s="181">
        <v>0</v>
      </c>
      <c r="R696" s="181">
        <v>0</v>
      </c>
      <c r="S696" s="182">
        <f t="shared" si="44"/>
        <v>168692.6869071353</v>
      </c>
      <c r="T696" s="183"/>
    </row>
    <row r="697" spans="1:20" ht="11.25">
      <c r="A697" s="175" t="s">
        <v>285</v>
      </c>
      <c r="B697" s="175">
        <v>19</v>
      </c>
      <c r="C697" s="176" t="s">
        <v>384</v>
      </c>
      <c r="D697" s="176" t="s">
        <v>385</v>
      </c>
      <c r="E697" s="176" t="s">
        <v>338</v>
      </c>
      <c r="F697" s="176"/>
      <c r="G697" s="176" t="s">
        <v>334</v>
      </c>
      <c r="H697" s="178" t="s">
        <v>325</v>
      </c>
      <c r="I697" s="175" t="s">
        <v>231</v>
      </c>
      <c r="J697" s="179" t="s">
        <v>352</v>
      </c>
      <c r="K697" s="179"/>
      <c r="L697" s="176" t="s">
        <v>386</v>
      </c>
      <c r="M697" s="180">
        <f t="shared" si="43"/>
        <v>172910.00407981366</v>
      </c>
      <c r="N697" s="181">
        <v>0</v>
      </c>
      <c r="O697" s="181">
        <v>0</v>
      </c>
      <c r="P697" s="181">
        <v>0</v>
      </c>
      <c r="Q697" s="181">
        <v>0</v>
      </c>
      <c r="R697" s="181">
        <v>0</v>
      </c>
      <c r="S697" s="182">
        <f t="shared" si="44"/>
        <v>172910.00407981366</v>
      </c>
      <c r="T697" s="183"/>
    </row>
    <row r="698" spans="1:20" ht="11.25">
      <c r="A698" s="175" t="s">
        <v>303</v>
      </c>
      <c r="B698" s="175">
        <v>20</v>
      </c>
      <c r="C698" s="176" t="s">
        <v>384</v>
      </c>
      <c r="D698" s="176" t="s">
        <v>385</v>
      </c>
      <c r="E698" s="176" t="s">
        <v>338</v>
      </c>
      <c r="F698" s="176"/>
      <c r="G698" s="176" t="s">
        <v>334</v>
      </c>
      <c r="H698" s="178" t="s">
        <v>325</v>
      </c>
      <c r="I698" s="175" t="s">
        <v>231</v>
      </c>
      <c r="J698" s="179" t="s">
        <v>352</v>
      </c>
      <c r="K698" s="179"/>
      <c r="L698" s="176" t="s">
        <v>386</v>
      </c>
      <c r="M698" s="180">
        <f t="shared" si="43"/>
        <v>177232.754181809</v>
      </c>
      <c r="N698" s="181">
        <v>0</v>
      </c>
      <c r="O698" s="181">
        <v>0</v>
      </c>
      <c r="P698" s="181">
        <v>0</v>
      </c>
      <c r="Q698" s="181">
        <v>0</v>
      </c>
      <c r="R698" s="181">
        <v>0</v>
      </c>
      <c r="S698" s="182">
        <f t="shared" si="44"/>
        <v>177232.754181809</v>
      </c>
      <c r="T698" s="183"/>
    </row>
    <row r="699" spans="1:20" ht="11.25">
      <c r="A699" s="175" t="s">
        <v>265</v>
      </c>
      <c r="B699" s="175">
        <v>0</v>
      </c>
      <c r="C699" s="176" t="s">
        <v>469</v>
      </c>
      <c r="D699" s="176" t="s">
        <v>364</v>
      </c>
      <c r="E699" s="176" t="s">
        <v>329</v>
      </c>
      <c r="F699" s="176"/>
      <c r="G699" s="176" t="s">
        <v>360</v>
      </c>
      <c r="H699" s="178" t="s">
        <v>325</v>
      </c>
      <c r="I699" s="175" t="s">
        <v>231</v>
      </c>
      <c r="J699" s="179" t="s">
        <v>326</v>
      </c>
      <c r="K699" s="179"/>
      <c r="L699" s="176" t="s">
        <v>387</v>
      </c>
      <c r="M699" s="180">
        <v>10816</v>
      </c>
      <c r="N699" s="181">
        <v>0</v>
      </c>
      <c r="O699" s="181">
        <v>0</v>
      </c>
      <c r="P699" s="181">
        <v>0</v>
      </c>
      <c r="Q699" s="181">
        <v>0</v>
      </c>
      <c r="R699" s="181">
        <v>0</v>
      </c>
      <c r="S699" s="182">
        <f t="shared" si="44"/>
        <v>10816</v>
      </c>
      <c r="T699" s="183"/>
    </row>
    <row r="700" spans="1:20" ht="11.25">
      <c r="A700" s="175" t="s">
        <v>267</v>
      </c>
      <c r="B700" s="175">
        <v>1</v>
      </c>
      <c r="C700" s="176" t="s">
        <v>469</v>
      </c>
      <c r="D700" s="176" t="s">
        <v>364</v>
      </c>
      <c r="E700" s="176" t="s">
        <v>329</v>
      </c>
      <c r="F700" s="176"/>
      <c r="G700" s="176" t="s">
        <v>360</v>
      </c>
      <c r="H700" s="178" t="s">
        <v>325</v>
      </c>
      <c r="I700" s="175" t="s">
        <v>231</v>
      </c>
      <c r="J700" s="179" t="s">
        <v>352</v>
      </c>
      <c r="K700" s="179"/>
      <c r="L700" s="176" t="s">
        <v>387</v>
      </c>
      <c r="M700" s="180">
        <f>IF(J700="Y",M699*(1+$F$4),IF(J700="I",M699*(1+$E$4),M699))</f>
        <v>11086.4</v>
      </c>
      <c r="N700" s="181">
        <v>0</v>
      </c>
      <c r="O700" s="181">
        <v>0</v>
      </c>
      <c r="P700" s="181">
        <v>0</v>
      </c>
      <c r="Q700" s="181">
        <v>0</v>
      </c>
      <c r="R700" s="181">
        <v>0</v>
      </c>
      <c r="S700" s="182">
        <f t="shared" si="44"/>
        <v>11086.4</v>
      </c>
      <c r="T700" s="183"/>
    </row>
    <row r="701" spans="1:20" ht="11.25">
      <c r="A701" s="175" t="s">
        <v>268</v>
      </c>
      <c r="B701" s="175">
        <v>2</v>
      </c>
      <c r="C701" s="176" t="s">
        <v>469</v>
      </c>
      <c r="D701" s="176" t="s">
        <v>364</v>
      </c>
      <c r="E701" s="176" t="s">
        <v>329</v>
      </c>
      <c r="F701" s="176"/>
      <c r="G701" s="176" t="s">
        <v>360</v>
      </c>
      <c r="H701" s="178" t="s">
        <v>325</v>
      </c>
      <c r="I701" s="175" t="s">
        <v>231</v>
      </c>
      <c r="J701" s="179" t="s">
        <v>352</v>
      </c>
      <c r="K701" s="179"/>
      <c r="L701" s="176" t="s">
        <v>387</v>
      </c>
      <c r="M701" s="180">
        <f t="shared" si="43"/>
        <v>11363.56</v>
      </c>
      <c r="N701" s="181">
        <v>0</v>
      </c>
      <c r="O701" s="181">
        <v>0</v>
      </c>
      <c r="P701" s="181">
        <v>0</v>
      </c>
      <c r="Q701" s="181">
        <v>0</v>
      </c>
      <c r="R701" s="181">
        <v>0</v>
      </c>
      <c r="S701" s="182">
        <f t="shared" si="44"/>
        <v>11363.56</v>
      </c>
      <c r="T701" s="183"/>
    </row>
    <row r="702" spans="1:20" ht="11.25">
      <c r="A702" s="175" t="s">
        <v>269</v>
      </c>
      <c r="B702" s="175">
        <v>3</v>
      </c>
      <c r="C702" s="176" t="s">
        <v>469</v>
      </c>
      <c r="D702" s="176" t="s">
        <v>364</v>
      </c>
      <c r="E702" s="176" t="s">
        <v>329</v>
      </c>
      <c r="F702" s="176"/>
      <c r="G702" s="176" t="s">
        <v>360</v>
      </c>
      <c r="H702" s="178" t="s">
        <v>325</v>
      </c>
      <c r="I702" s="175" t="s">
        <v>231</v>
      </c>
      <c r="J702" s="179" t="s">
        <v>352</v>
      </c>
      <c r="K702" s="179"/>
      <c r="L702" s="176" t="s">
        <v>387</v>
      </c>
      <c r="M702" s="180">
        <f t="shared" si="43"/>
        <v>11647.648999999998</v>
      </c>
      <c r="N702" s="181">
        <v>0</v>
      </c>
      <c r="O702" s="181">
        <v>0</v>
      </c>
      <c r="P702" s="181">
        <v>0</v>
      </c>
      <c r="Q702" s="181">
        <v>0</v>
      </c>
      <c r="R702" s="181">
        <v>0</v>
      </c>
      <c r="S702" s="182">
        <f t="shared" si="44"/>
        <v>11647.648999999998</v>
      </c>
      <c r="T702" s="183"/>
    </row>
    <row r="703" spans="1:20" ht="11.25">
      <c r="A703" s="175" t="s">
        <v>270</v>
      </c>
      <c r="B703" s="175">
        <v>4</v>
      </c>
      <c r="C703" s="176" t="s">
        <v>469</v>
      </c>
      <c r="D703" s="176" t="s">
        <v>364</v>
      </c>
      <c r="E703" s="176" t="s">
        <v>329</v>
      </c>
      <c r="F703" s="176"/>
      <c r="G703" s="176" t="s">
        <v>360</v>
      </c>
      <c r="H703" s="178" t="s">
        <v>325</v>
      </c>
      <c r="I703" s="175" t="s">
        <v>231</v>
      </c>
      <c r="J703" s="179" t="s">
        <v>352</v>
      </c>
      <c r="K703" s="179"/>
      <c r="L703" s="176" t="s">
        <v>387</v>
      </c>
      <c r="M703" s="180">
        <f t="shared" si="43"/>
        <v>11938.840224999996</v>
      </c>
      <c r="N703" s="181">
        <v>0</v>
      </c>
      <c r="O703" s="181">
        <v>0</v>
      </c>
      <c r="P703" s="181">
        <v>0</v>
      </c>
      <c r="Q703" s="181">
        <v>0</v>
      </c>
      <c r="R703" s="181">
        <v>0</v>
      </c>
      <c r="S703" s="182">
        <f t="shared" si="44"/>
        <v>11938.840224999996</v>
      </c>
      <c r="T703" s="183"/>
    </row>
    <row r="704" spans="1:20" ht="11.25">
      <c r="A704" s="175" t="s">
        <v>271</v>
      </c>
      <c r="B704" s="175">
        <v>5</v>
      </c>
      <c r="C704" s="176" t="s">
        <v>469</v>
      </c>
      <c r="D704" s="176" t="s">
        <v>364</v>
      </c>
      <c r="E704" s="176" t="s">
        <v>329</v>
      </c>
      <c r="F704" s="176"/>
      <c r="G704" s="176" t="s">
        <v>360</v>
      </c>
      <c r="H704" s="178" t="s">
        <v>325</v>
      </c>
      <c r="I704" s="175" t="s">
        <v>231</v>
      </c>
      <c r="J704" s="179" t="s">
        <v>352</v>
      </c>
      <c r="K704" s="179"/>
      <c r="L704" s="176" t="s">
        <v>387</v>
      </c>
      <c r="M704" s="180">
        <f t="shared" si="43"/>
        <v>12237.311230624995</v>
      </c>
      <c r="N704" s="181">
        <v>0</v>
      </c>
      <c r="O704" s="181">
        <v>0</v>
      </c>
      <c r="P704" s="181">
        <v>0</v>
      </c>
      <c r="Q704" s="181">
        <v>0</v>
      </c>
      <c r="R704" s="181">
        <v>0</v>
      </c>
      <c r="S704" s="182">
        <f t="shared" si="44"/>
        <v>12237.311230624995</v>
      </c>
      <c r="T704" s="183"/>
    </row>
    <row r="705" spans="1:20" ht="11.25">
      <c r="A705" s="175" t="s">
        <v>272</v>
      </c>
      <c r="B705" s="175">
        <v>6</v>
      </c>
      <c r="C705" s="176" t="s">
        <v>469</v>
      </c>
      <c r="D705" s="176" t="s">
        <v>364</v>
      </c>
      <c r="E705" s="176" t="s">
        <v>329</v>
      </c>
      <c r="F705" s="176"/>
      <c r="G705" s="176" t="s">
        <v>360</v>
      </c>
      <c r="H705" s="178" t="s">
        <v>325</v>
      </c>
      <c r="I705" s="175" t="s">
        <v>231</v>
      </c>
      <c r="J705" s="179" t="s">
        <v>352</v>
      </c>
      <c r="K705" s="179"/>
      <c r="L705" s="176" t="s">
        <v>387</v>
      </c>
      <c r="M705" s="180">
        <f t="shared" si="43"/>
        <v>12543.24401139062</v>
      </c>
      <c r="N705" s="181">
        <v>0</v>
      </c>
      <c r="O705" s="181">
        <v>0</v>
      </c>
      <c r="P705" s="181">
        <v>0</v>
      </c>
      <c r="Q705" s="181">
        <v>0</v>
      </c>
      <c r="R705" s="181">
        <v>0</v>
      </c>
      <c r="S705" s="182">
        <f t="shared" si="44"/>
        <v>12543.24401139062</v>
      </c>
      <c r="T705" s="183"/>
    </row>
    <row r="706" spans="1:20" ht="11.25">
      <c r="A706" s="175" t="s">
        <v>273</v>
      </c>
      <c r="B706" s="175">
        <v>7</v>
      </c>
      <c r="C706" s="176" t="s">
        <v>469</v>
      </c>
      <c r="D706" s="176" t="s">
        <v>364</v>
      </c>
      <c r="E706" s="176" t="s">
        <v>329</v>
      </c>
      <c r="F706" s="176"/>
      <c r="G706" s="176" t="s">
        <v>360</v>
      </c>
      <c r="H706" s="178" t="s">
        <v>325</v>
      </c>
      <c r="I706" s="175" t="s">
        <v>231</v>
      </c>
      <c r="J706" s="179" t="s">
        <v>352</v>
      </c>
      <c r="K706" s="179"/>
      <c r="L706" s="176" t="s">
        <v>387</v>
      </c>
      <c r="M706" s="180">
        <f t="shared" si="43"/>
        <v>12856.825111675384</v>
      </c>
      <c r="N706" s="181">
        <v>0</v>
      </c>
      <c r="O706" s="181">
        <v>0</v>
      </c>
      <c r="P706" s="181">
        <v>0</v>
      </c>
      <c r="Q706" s="181">
        <v>0</v>
      </c>
      <c r="R706" s="181">
        <v>0</v>
      </c>
      <c r="S706" s="182">
        <f t="shared" si="44"/>
        <v>12856.825111675384</v>
      </c>
      <c r="T706" s="183"/>
    </row>
    <row r="707" spans="1:20" ht="11.25">
      <c r="A707" s="175" t="s">
        <v>274</v>
      </c>
      <c r="B707" s="175">
        <v>8</v>
      </c>
      <c r="C707" s="176" t="s">
        <v>469</v>
      </c>
      <c r="D707" s="176" t="s">
        <v>364</v>
      </c>
      <c r="E707" s="176" t="s">
        <v>329</v>
      </c>
      <c r="F707" s="176"/>
      <c r="G707" s="176" t="s">
        <v>360</v>
      </c>
      <c r="H707" s="178" t="s">
        <v>325</v>
      </c>
      <c r="I707" s="175" t="s">
        <v>231</v>
      </c>
      <c r="J707" s="179" t="s">
        <v>352</v>
      </c>
      <c r="K707" s="179"/>
      <c r="L707" s="176" t="s">
        <v>387</v>
      </c>
      <c r="M707" s="180">
        <f t="shared" si="43"/>
        <v>13178.245739467267</v>
      </c>
      <c r="N707" s="181">
        <v>0</v>
      </c>
      <c r="O707" s="181">
        <v>0</v>
      </c>
      <c r="P707" s="181">
        <v>0</v>
      </c>
      <c r="Q707" s="181">
        <v>0</v>
      </c>
      <c r="R707" s="181">
        <v>0</v>
      </c>
      <c r="S707" s="182">
        <f t="shared" si="44"/>
        <v>13178.245739467267</v>
      </c>
      <c r="T707" s="183"/>
    </row>
    <row r="708" spans="1:20" ht="11.25">
      <c r="A708" s="175" t="s">
        <v>275</v>
      </c>
      <c r="B708" s="175">
        <v>9</v>
      </c>
      <c r="C708" s="176" t="s">
        <v>469</v>
      </c>
      <c r="D708" s="176" t="s">
        <v>364</v>
      </c>
      <c r="E708" s="176" t="s">
        <v>329</v>
      </c>
      <c r="F708" s="176"/>
      <c r="G708" s="176" t="s">
        <v>360</v>
      </c>
      <c r="H708" s="178" t="s">
        <v>325</v>
      </c>
      <c r="I708" s="175" t="s">
        <v>231</v>
      </c>
      <c r="J708" s="179" t="s">
        <v>352</v>
      </c>
      <c r="K708" s="179"/>
      <c r="L708" s="176" t="s">
        <v>387</v>
      </c>
      <c r="M708" s="180">
        <f t="shared" si="43"/>
        <v>13507.701882953948</v>
      </c>
      <c r="N708" s="181">
        <v>0</v>
      </c>
      <c r="O708" s="181">
        <v>0</v>
      </c>
      <c r="P708" s="181">
        <v>0</v>
      </c>
      <c r="Q708" s="181">
        <v>0</v>
      </c>
      <c r="R708" s="181">
        <v>0</v>
      </c>
      <c r="S708" s="182">
        <f t="shared" si="44"/>
        <v>13507.701882953948</v>
      </c>
      <c r="T708" s="183"/>
    </row>
    <row r="709" spans="1:20" ht="11.25">
      <c r="A709" s="175" t="s">
        <v>276</v>
      </c>
      <c r="B709" s="175">
        <v>10</v>
      </c>
      <c r="C709" s="176" t="s">
        <v>469</v>
      </c>
      <c r="D709" s="176" t="s">
        <v>364</v>
      </c>
      <c r="E709" s="176" t="s">
        <v>329</v>
      </c>
      <c r="F709" s="176"/>
      <c r="G709" s="176" t="s">
        <v>360</v>
      </c>
      <c r="H709" s="178" t="s">
        <v>325</v>
      </c>
      <c r="I709" s="175" t="s">
        <v>231</v>
      </c>
      <c r="J709" s="179" t="s">
        <v>352</v>
      </c>
      <c r="K709" s="179"/>
      <c r="L709" s="176" t="s">
        <v>387</v>
      </c>
      <c r="M709" s="180">
        <f t="shared" si="43"/>
        <v>13845.394430027796</v>
      </c>
      <c r="N709" s="181">
        <v>0</v>
      </c>
      <c r="O709" s="181">
        <v>0</v>
      </c>
      <c r="P709" s="181">
        <v>0</v>
      </c>
      <c r="Q709" s="181">
        <v>0</v>
      </c>
      <c r="R709" s="181">
        <v>0</v>
      </c>
      <c r="S709" s="182">
        <f t="shared" si="44"/>
        <v>13845.394430027796</v>
      </c>
      <c r="T709" s="183"/>
    </row>
    <row r="710" spans="1:20" ht="11.25">
      <c r="A710" s="175" t="s">
        <v>277</v>
      </c>
      <c r="B710" s="175">
        <v>11</v>
      </c>
      <c r="C710" s="176" t="s">
        <v>469</v>
      </c>
      <c r="D710" s="176" t="s">
        <v>364</v>
      </c>
      <c r="E710" s="176" t="s">
        <v>329</v>
      </c>
      <c r="F710" s="176"/>
      <c r="G710" s="176" t="s">
        <v>360</v>
      </c>
      <c r="H710" s="178" t="s">
        <v>325</v>
      </c>
      <c r="I710" s="175" t="s">
        <v>231</v>
      </c>
      <c r="J710" s="179" t="s">
        <v>352</v>
      </c>
      <c r="K710" s="179"/>
      <c r="L710" s="176" t="s">
        <v>387</v>
      </c>
      <c r="M710" s="180">
        <f t="shared" si="43"/>
        <v>14191.52929077849</v>
      </c>
      <c r="N710" s="181">
        <v>0</v>
      </c>
      <c r="O710" s="181">
        <v>0</v>
      </c>
      <c r="P710" s="181">
        <v>0</v>
      </c>
      <c r="Q710" s="181">
        <v>0</v>
      </c>
      <c r="R710" s="181">
        <v>0</v>
      </c>
      <c r="S710" s="182">
        <f t="shared" si="44"/>
        <v>14191.52929077849</v>
      </c>
      <c r="T710" s="183"/>
    </row>
    <row r="711" spans="1:20" ht="11.25">
      <c r="A711" s="175" t="s">
        <v>278</v>
      </c>
      <c r="B711" s="175">
        <v>12</v>
      </c>
      <c r="C711" s="176" t="s">
        <v>469</v>
      </c>
      <c r="D711" s="176" t="s">
        <v>364</v>
      </c>
      <c r="E711" s="176" t="s">
        <v>329</v>
      </c>
      <c r="F711" s="176"/>
      <c r="G711" s="176" t="s">
        <v>360</v>
      </c>
      <c r="H711" s="178" t="s">
        <v>325</v>
      </c>
      <c r="I711" s="175" t="s">
        <v>231</v>
      </c>
      <c r="J711" s="179" t="s">
        <v>352</v>
      </c>
      <c r="K711" s="179"/>
      <c r="L711" s="176" t="s">
        <v>387</v>
      </c>
      <c r="M711" s="180">
        <f t="shared" si="43"/>
        <v>14546.31752304795</v>
      </c>
      <c r="N711" s="181">
        <v>0</v>
      </c>
      <c r="O711" s="181">
        <v>0</v>
      </c>
      <c r="P711" s="181">
        <v>0</v>
      </c>
      <c r="Q711" s="181">
        <v>0</v>
      </c>
      <c r="R711" s="181">
        <v>0</v>
      </c>
      <c r="S711" s="182">
        <f t="shared" si="44"/>
        <v>14546.31752304795</v>
      </c>
      <c r="T711" s="183"/>
    </row>
    <row r="712" spans="1:20" ht="11.25">
      <c r="A712" s="175" t="s">
        <v>279</v>
      </c>
      <c r="B712" s="175">
        <v>13</v>
      </c>
      <c r="C712" s="176" t="s">
        <v>469</v>
      </c>
      <c r="D712" s="176" t="s">
        <v>364</v>
      </c>
      <c r="E712" s="176" t="s">
        <v>329</v>
      </c>
      <c r="F712" s="176"/>
      <c r="G712" s="176" t="s">
        <v>360</v>
      </c>
      <c r="H712" s="178" t="s">
        <v>325</v>
      </c>
      <c r="I712" s="175" t="s">
        <v>231</v>
      </c>
      <c r="J712" s="179" t="s">
        <v>352</v>
      </c>
      <c r="K712" s="179"/>
      <c r="L712" s="176" t="s">
        <v>387</v>
      </c>
      <c r="M712" s="180">
        <f t="shared" si="43"/>
        <v>14909.975461124148</v>
      </c>
      <c r="N712" s="181">
        <v>0</v>
      </c>
      <c r="O712" s="181">
        <v>0</v>
      </c>
      <c r="P712" s="181">
        <v>0</v>
      </c>
      <c r="Q712" s="181">
        <v>0</v>
      </c>
      <c r="R712" s="181">
        <v>0</v>
      </c>
      <c r="S712" s="182">
        <f t="shared" si="44"/>
        <v>14909.975461124148</v>
      </c>
      <c r="T712" s="183"/>
    </row>
    <row r="713" spans="1:20" ht="11.25">
      <c r="A713" s="175" t="s">
        <v>280</v>
      </c>
      <c r="B713" s="175">
        <v>14</v>
      </c>
      <c r="C713" s="176" t="s">
        <v>469</v>
      </c>
      <c r="D713" s="176" t="s">
        <v>364</v>
      </c>
      <c r="E713" s="176" t="s">
        <v>329</v>
      </c>
      <c r="F713" s="176"/>
      <c r="G713" s="176" t="s">
        <v>360</v>
      </c>
      <c r="H713" s="178" t="s">
        <v>325</v>
      </c>
      <c r="I713" s="175" t="s">
        <v>231</v>
      </c>
      <c r="J713" s="179" t="s">
        <v>352</v>
      </c>
      <c r="K713" s="179"/>
      <c r="L713" s="176" t="s">
        <v>387</v>
      </c>
      <c r="M713" s="180">
        <f t="shared" si="43"/>
        <v>15282.72484765225</v>
      </c>
      <c r="N713" s="181">
        <v>0</v>
      </c>
      <c r="O713" s="181">
        <v>0</v>
      </c>
      <c r="P713" s="181">
        <v>0</v>
      </c>
      <c r="Q713" s="181">
        <v>0</v>
      </c>
      <c r="R713" s="181">
        <v>0</v>
      </c>
      <c r="S713" s="182">
        <f t="shared" si="44"/>
        <v>15282.72484765225</v>
      </c>
      <c r="T713" s="183"/>
    </row>
    <row r="714" spans="1:20" ht="11.25">
      <c r="A714" s="175" t="s">
        <v>281</v>
      </c>
      <c r="B714" s="175">
        <v>15</v>
      </c>
      <c r="C714" s="176" t="s">
        <v>469</v>
      </c>
      <c r="D714" s="176" t="s">
        <v>364</v>
      </c>
      <c r="E714" s="176" t="s">
        <v>329</v>
      </c>
      <c r="F714" s="176"/>
      <c r="G714" s="176" t="s">
        <v>360</v>
      </c>
      <c r="H714" s="178" t="s">
        <v>325</v>
      </c>
      <c r="I714" s="175" t="s">
        <v>231</v>
      </c>
      <c r="J714" s="179" t="s">
        <v>352</v>
      </c>
      <c r="K714" s="179"/>
      <c r="L714" s="176" t="s">
        <v>387</v>
      </c>
      <c r="M714" s="180">
        <f t="shared" si="43"/>
        <v>15664.792968843556</v>
      </c>
      <c r="N714" s="181">
        <v>0</v>
      </c>
      <c r="O714" s="181">
        <v>0</v>
      </c>
      <c r="P714" s="181">
        <v>0</v>
      </c>
      <c r="Q714" s="181">
        <v>0</v>
      </c>
      <c r="R714" s="181">
        <v>0</v>
      </c>
      <c r="S714" s="182">
        <f t="shared" si="44"/>
        <v>15664.792968843556</v>
      </c>
      <c r="T714" s="183"/>
    </row>
    <row r="715" spans="1:20" ht="11.25">
      <c r="A715" s="175" t="s">
        <v>282</v>
      </c>
      <c r="B715" s="175">
        <v>16</v>
      </c>
      <c r="C715" s="176" t="s">
        <v>469</v>
      </c>
      <c r="D715" s="176" t="s">
        <v>364</v>
      </c>
      <c r="E715" s="176" t="s">
        <v>329</v>
      </c>
      <c r="F715" s="176"/>
      <c r="G715" s="176" t="s">
        <v>360</v>
      </c>
      <c r="H715" s="178" t="s">
        <v>325</v>
      </c>
      <c r="I715" s="175" t="s">
        <v>231</v>
      </c>
      <c r="J715" s="179" t="s">
        <v>352</v>
      </c>
      <c r="K715" s="179"/>
      <c r="L715" s="176" t="s">
        <v>387</v>
      </c>
      <c r="M715" s="180">
        <f t="shared" si="43"/>
        <v>16056.412793064643</v>
      </c>
      <c r="N715" s="181">
        <v>0</v>
      </c>
      <c r="O715" s="181">
        <v>0</v>
      </c>
      <c r="P715" s="181">
        <v>0</v>
      </c>
      <c r="Q715" s="181">
        <v>0</v>
      </c>
      <c r="R715" s="181">
        <v>0</v>
      </c>
      <c r="S715" s="182">
        <f t="shared" si="44"/>
        <v>16056.412793064643</v>
      </c>
      <c r="T715" s="183"/>
    </row>
    <row r="716" spans="1:20" ht="11.25">
      <c r="A716" s="175" t="s">
        <v>283</v>
      </c>
      <c r="B716" s="175">
        <v>17</v>
      </c>
      <c r="C716" s="176" t="s">
        <v>469</v>
      </c>
      <c r="D716" s="176" t="s">
        <v>364</v>
      </c>
      <c r="E716" s="176" t="s">
        <v>329</v>
      </c>
      <c r="F716" s="176"/>
      <c r="G716" s="176" t="s">
        <v>360</v>
      </c>
      <c r="H716" s="178" t="s">
        <v>325</v>
      </c>
      <c r="I716" s="175" t="s">
        <v>231</v>
      </c>
      <c r="J716" s="179" t="s">
        <v>352</v>
      </c>
      <c r="K716" s="179"/>
      <c r="L716" s="176" t="s">
        <v>387</v>
      </c>
      <c r="M716" s="180">
        <f t="shared" si="43"/>
        <v>16457.823112891256</v>
      </c>
      <c r="N716" s="181">
        <v>0</v>
      </c>
      <c r="O716" s="181">
        <v>0</v>
      </c>
      <c r="P716" s="181">
        <v>0</v>
      </c>
      <c r="Q716" s="181">
        <v>0</v>
      </c>
      <c r="R716" s="181">
        <v>0</v>
      </c>
      <c r="S716" s="182">
        <f t="shared" si="44"/>
        <v>16457.823112891256</v>
      </c>
      <c r="T716" s="183"/>
    </row>
    <row r="717" spans="1:20" ht="11.25">
      <c r="A717" s="175" t="s">
        <v>284</v>
      </c>
      <c r="B717" s="175">
        <v>18</v>
      </c>
      <c r="C717" s="176" t="s">
        <v>469</v>
      </c>
      <c r="D717" s="176" t="s">
        <v>364</v>
      </c>
      <c r="E717" s="176" t="s">
        <v>329</v>
      </c>
      <c r="F717" s="176"/>
      <c r="G717" s="176" t="s">
        <v>360</v>
      </c>
      <c r="H717" s="178" t="s">
        <v>325</v>
      </c>
      <c r="I717" s="175" t="s">
        <v>231</v>
      </c>
      <c r="J717" s="179" t="s">
        <v>352</v>
      </c>
      <c r="K717" s="179"/>
      <c r="L717" s="176" t="s">
        <v>387</v>
      </c>
      <c r="M717" s="180">
        <f t="shared" si="43"/>
        <v>16869.268690713536</v>
      </c>
      <c r="N717" s="181">
        <v>0</v>
      </c>
      <c r="O717" s="181">
        <v>0</v>
      </c>
      <c r="P717" s="181">
        <v>0</v>
      </c>
      <c r="Q717" s="181">
        <v>0</v>
      </c>
      <c r="R717" s="181">
        <v>0</v>
      </c>
      <c r="S717" s="182">
        <f t="shared" si="44"/>
        <v>16869.268690713536</v>
      </c>
      <c r="T717" s="183"/>
    </row>
    <row r="718" spans="1:20" ht="11.25">
      <c r="A718" s="175" t="s">
        <v>285</v>
      </c>
      <c r="B718" s="175">
        <v>19</v>
      </c>
      <c r="C718" s="176" t="s">
        <v>469</v>
      </c>
      <c r="D718" s="176" t="s">
        <v>364</v>
      </c>
      <c r="E718" s="176" t="s">
        <v>329</v>
      </c>
      <c r="F718" s="176"/>
      <c r="G718" s="176" t="s">
        <v>360</v>
      </c>
      <c r="H718" s="178" t="s">
        <v>325</v>
      </c>
      <c r="I718" s="175" t="s">
        <v>231</v>
      </c>
      <c r="J718" s="179" t="s">
        <v>352</v>
      </c>
      <c r="K718" s="179"/>
      <c r="L718" s="176" t="s">
        <v>387</v>
      </c>
      <c r="M718" s="180">
        <f t="shared" si="43"/>
        <v>17291.000407981373</v>
      </c>
      <c r="N718" s="181">
        <v>0</v>
      </c>
      <c r="O718" s="181">
        <v>0</v>
      </c>
      <c r="P718" s="181">
        <v>0</v>
      </c>
      <c r="Q718" s="181">
        <v>0</v>
      </c>
      <c r="R718" s="181">
        <v>0</v>
      </c>
      <c r="S718" s="182">
        <f t="shared" si="44"/>
        <v>17291.000407981373</v>
      </c>
      <c r="T718" s="183"/>
    </row>
    <row r="719" spans="1:20" ht="11.25">
      <c r="A719" s="175" t="s">
        <v>303</v>
      </c>
      <c r="B719" s="175">
        <v>20</v>
      </c>
      <c r="C719" s="176" t="s">
        <v>469</v>
      </c>
      <c r="D719" s="176" t="s">
        <v>364</v>
      </c>
      <c r="E719" s="176" t="s">
        <v>329</v>
      </c>
      <c r="F719" s="176"/>
      <c r="G719" s="176" t="s">
        <v>360</v>
      </c>
      <c r="H719" s="178" t="s">
        <v>325</v>
      </c>
      <c r="I719" s="175" t="s">
        <v>231</v>
      </c>
      <c r="J719" s="179" t="s">
        <v>352</v>
      </c>
      <c r="K719" s="179"/>
      <c r="L719" s="176" t="s">
        <v>387</v>
      </c>
      <c r="M719" s="180">
        <f t="shared" si="43"/>
        <v>17723.275418180907</v>
      </c>
      <c r="N719" s="181">
        <v>0</v>
      </c>
      <c r="O719" s="181">
        <v>0</v>
      </c>
      <c r="P719" s="181">
        <v>0</v>
      </c>
      <c r="Q719" s="181">
        <v>0</v>
      </c>
      <c r="R719" s="181">
        <v>0</v>
      </c>
      <c r="S719" s="182">
        <f t="shared" si="44"/>
        <v>17723.275418180907</v>
      </c>
      <c r="T719" s="183"/>
    </row>
    <row r="720" spans="1:20" ht="11.25">
      <c r="A720" s="175" t="s">
        <v>265</v>
      </c>
      <c r="B720" s="175">
        <v>0</v>
      </c>
      <c r="C720" s="176" t="s">
        <v>355</v>
      </c>
      <c r="D720" s="176" t="s">
        <v>322</v>
      </c>
      <c r="E720" s="186" t="s">
        <v>375</v>
      </c>
      <c r="F720" s="186"/>
      <c r="G720" s="176" t="s">
        <v>324</v>
      </c>
      <c r="H720" s="178" t="s">
        <v>325</v>
      </c>
      <c r="I720" s="175" t="s">
        <v>231</v>
      </c>
      <c r="J720" s="179" t="s">
        <v>326</v>
      </c>
      <c r="K720" s="179"/>
      <c r="L720" s="176" t="s">
        <v>388</v>
      </c>
      <c r="M720" s="180">
        <v>4160000</v>
      </c>
      <c r="N720" s="181">
        <v>0</v>
      </c>
      <c r="O720" s="181">
        <v>0</v>
      </c>
      <c r="P720" s="181">
        <v>0</v>
      </c>
      <c r="Q720" s="181">
        <v>0</v>
      </c>
      <c r="R720" s="181">
        <v>0</v>
      </c>
      <c r="S720" s="182">
        <f t="shared" si="44"/>
        <v>4160000</v>
      </c>
      <c r="T720" s="183"/>
    </row>
    <row r="721" spans="1:20" ht="11.25">
      <c r="A721" s="175" t="s">
        <v>267</v>
      </c>
      <c r="B721" s="175">
        <v>1</v>
      </c>
      <c r="C721" s="176" t="s">
        <v>355</v>
      </c>
      <c r="D721" s="176" t="s">
        <v>322</v>
      </c>
      <c r="E721" s="186" t="s">
        <v>375</v>
      </c>
      <c r="F721" s="186"/>
      <c r="G721" s="176" t="s">
        <v>324</v>
      </c>
      <c r="H721" s="178" t="s">
        <v>325</v>
      </c>
      <c r="I721" s="175" t="s">
        <v>231</v>
      </c>
      <c r="J721" s="179" t="s">
        <v>352</v>
      </c>
      <c r="K721" s="179"/>
      <c r="L721" s="176" t="s">
        <v>388</v>
      </c>
      <c r="M721" s="180">
        <f>IF(J721="Y",M720*(1+$F$4),IF(J721="I",M720*(1+$E$4),M720))</f>
        <v>4264000</v>
      </c>
      <c r="N721" s="181">
        <v>0</v>
      </c>
      <c r="O721" s="181">
        <v>0</v>
      </c>
      <c r="P721" s="181">
        <v>0</v>
      </c>
      <c r="Q721" s="181">
        <v>0</v>
      </c>
      <c r="R721" s="181">
        <v>0</v>
      </c>
      <c r="S721" s="182">
        <f t="shared" si="44"/>
        <v>4264000</v>
      </c>
      <c r="T721" s="183"/>
    </row>
    <row r="722" spans="1:20" ht="11.25">
      <c r="A722" s="175" t="s">
        <v>268</v>
      </c>
      <c r="B722" s="175">
        <v>2</v>
      </c>
      <c r="C722" s="176" t="s">
        <v>355</v>
      </c>
      <c r="D722" s="176" t="s">
        <v>322</v>
      </c>
      <c r="E722" s="186" t="s">
        <v>375</v>
      </c>
      <c r="F722" s="186"/>
      <c r="G722" s="176" t="s">
        <v>324</v>
      </c>
      <c r="H722" s="178" t="s">
        <v>325</v>
      </c>
      <c r="I722" s="175" t="s">
        <v>231</v>
      </c>
      <c r="J722" s="179" t="s">
        <v>352</v>
      </c>
      <c r="K722" s="179"/>
      <c r="L722" s="176" t="s">
        <v>388</v>
      </c>
      <c r="M722" s="180">
        <f aca="true" t="shared" si="45" ref="M722:M740">IF(J722="Y",M721*(1+$C$4),IF(J722="I",M721*(1+$E$4),M721))</f>
        <v>4370600</v>
      </c>
      <c r="N722" s="181">
        <v>0</v>
      </c>
      <c r="O722" s="181">
        <v>0</v>
      </c>
      <c r="P722" s="181">
        <v>0</v>
      </c>
      <c r="Q722" s="181">
        <v>0</v>
      </c>
      <c r="R722" s="181">
        <v>0</v>
      </c>
      <c r="S722" s="182">
        <f t="shared" si="44"/>
        <v>4370600</v>
      </c>
      <c r="T722" s="183"/>
    </row>
    <row r="723" spans="1:20" ht="11.25">
      <c r="A723" s="175" t="s">
        <v>269</v>
      </c>
      <c r="B723" s="175">
        <v>3</v>
      </c>
      <c r="C723" s="176" t="s">
        <v>355</v>
      </c>
      <c r="D723" s="176" t="s">
        <v>322</v>
      </c>
      <c r="E723" s="186" t="s">
        <v>375</v>
      </c>
      <c r="F723" s="186"/>
      <c r="G723" s="176" t="s">
        <v>324</v>
      </c>
      <c r="H723" s="178" t="s">
        <v>325</v>
      </c>
      <c r="I723" s="175" t="s">
        <v>231</v>
      </c>
      <c r="J723" s="179" t="s">
        <v>352</v>
      </c>
      <c r="K723" s="179"/>
      <c r="L723" s="176" t="s">
        <v>388</v>
      </c>
      <c r="M723" s="180">
        <f t="shared" si="45"/>
        <v>4479865</v>
      </c>
      <c r="N723" s="181">
        <v>0</v>
      </c>
      <c r="O723" s="181">
        <v>0</v>
      </c>
      <c r="P723" s="181">
        <v>0</v>
      </c>
      <c r="Q723" s="181">
        <v>0</v>
      </c>
      <c r="R723" s="181">
        <v>0</v>
      </c>
      <c r="S723" s="182">
        <f t="shared" si="44"/>
        <v>4479865</v>
      </c>
      <c r="T723" s="183"/>
    </row>
    <row r="724" spans="1:20" ht="11.25">
      <c r="A724" s="175" t="s">
        <v>270</v>
      </c>
      <c r="B724" s="175">
        <v>4</v>
      </c>
      <c r="C724" s="176" t="s">
        <v>355</v>
      </c>
      <c r="D724" s="176" t="s">
        <v>322</v>
      </c>
      <c r="E724" s="186" t="s">
        <v>375</v>
      </c>
      <c r="F724" s="186"/>
      <c r="G724" s="176" t="s">
        <v>324</v>
      </c>
      <c r="H724" s="178" t="s">
        <v>325</v>
      </c>
      <c r="I724" s="175" t="s">
        <v>231</v>
      </c>
      <c r="J724" s="179" t="s">
        <v>352</v>
      </c>
      <c r="K724" s="179"/>
      <c r="L724" s="176" t="s">
        <v>388</v>
      </c>
      <c r="M724" s="180">
        <f t="shared" si="45"/>
        <v>4591861.625</v>
      </c>
      <c r="N724" s="181">
        <v>0</v>
      </c>
      <c r="O724" s="181">
        <v>0</v>
      </c>
      <c r="P724" s="181">
        <v>0</v>
      </c>
      <c r="Q724" s="181">
        <v>0</v>
      </c>
      <c r="R724" s="181">
        <v>0</v>
      </c>
      <c r="S724" s="182">
        <f t="shared" si="44"/>
        <v>4591861.625</v>
      </c>
      <c r="T724" s="183"/>
    </row>
    <row r="725" spans="1:20" ht="11.25">
      <c r="A725" s="175" t="s">
        <v>271</v>
      </c>
      <c r="B725" s="175">
        <v>5</v>
      </c>
      <c r="C725" s="176" t="s">
        <v>355</v>
      </c>
      <c r="D725" s="176" t="s">
        <v>322</v>
      </c>
      <c r="E725" s="186" t="s">
        <v>375</v>
      </c>
      <c r="F725" s="186"/>
      <c r="G725" s="176" t="s">
        <v>324</v>
      </c>
      <c r="H725" s="178" t="s">
        <v>325</v>
      </c>
      <c r="I725" s="175" t="s">
        <v>231</v>
      </c>
      <c r="J725" s="179" t="s">
        <v>352</v>
      </c>
      <c r="K725" s="179"/>
      <c r="L725" s="176" t="s">
        <v>388</v>
      </c>
      <c r="M725" s="180">
        <f t="shared" si="45"/>
        <v>4706658.165624999</v>
      </c>
      <c r="N725" s="181">
        <v>0</v>
      </c>
      <c r="O725" s="181">
        <v>0</v>
      </c>
      <c r="P725" s="181">
        <v>0</v>
      </c>
      <c r="Q725" s="181">
        <v>0</v>
      </c>
      <c r="R725" s="181">
        <v>0</v>
      </c>
      <c r="S725" s="182">
        <f t="shared" si="44"/>
        <v>4706658.165624999</v>
      </c>
      <c r="T725" s="183"/>
    </row>
    <row r="726" spans="1:20" ht="11.25">
      <c r="A726" s="175" t="s">
        <v>272</v>
      </c>
      <c r="B726" s="175">
        <v>6</v>
      </c>
      <c r="C726" s="176" t="s">
        <v>355</v>
      </c>
      <c r="D726" s="176" t="s">
        <v>322</v>
      </c>
      <c r="E726" s="186" t="s">
        <v>375</v>
      </c>
      <c r="F726" s="186"/>
      <c r="G726" s="176" t="s">
        <v>324</v>
      </c>
      <c r="H726" s="178" t="s">
        <v>325</v>
      </c>
      <c r="I726" s="175" t="s">
        <v>231</v>
      </c>
      <c r="J726" s="179" t="s">
        <v>352</v>
      </c>
      <c r="K726" s="179"/>
      <c r="L726" s="176" t="s">
        <v>388</v>
      </c>
      <c r="M726" s="180">
        <f t="shared" si="45"/>
        <v>4824324.619765624</v>
      </c>
      <c r="N726" s="181">
        <v>0</v>
      </c>
      <c r="O726" s="181">
        <v>0</v>
      </c>
      <c r="P726" s="181">
        <v>0</v>
      </c>
      <c r="Q726" s="181">
        <v>0</v>
      </c>
      <c r="R726" s="181">
        <v>0</v>
      </c>
      <c r="S726" s="182">
        <f t="shared" si="44"/>
        <v>4824324.619765624</v>
      </c>
      <c r="T726" s="183"/>
    </row>
    <row r="727" spans="1:20" ht="11.25">
      <c r="A727" s="175" t="s">
        <v>273</v>
      </c>
      <c r="B727" s="175">
        <v>7</v>
      </c>
      <c r="C727" s="176" t="s">
        <v>355</v>
      </c>
      <c r="D727" s="176" t="s">
        <v>322</v>
      </c>
      <c r="E727" s="186" t="s">
        <v>375</v>
      </c>
      <c r="F727" s="186"/>
      <c r="G727" s="176" t="s">
        <v>324</v>
      </c>
      <c r="H727" s="178" t="s">
        <v>325</v>
      </c>
      <c r="I727" s="175" t="s">
        <v>231</v>
      </c>
      <c r="J727" s="179" t="s">
        <v>352</v>
      </c>
      <c r="K727" s="179"/>
      <c r="L727" s="176" t="s">
        <v>388</v>
      </c>
      <c r="M727" s="180">
        <f t="shared" si="45"/>
        <v>4944932.735259765</v>
      </c>
      <c r="N727" s="181">
        <v>0</v>
      </c>
      <c r="O727" s="181">
        <v>0</v>
      </c>
      <c r="P727" s="181">
        <v>0</v>
      </c>
      <c r="Q727" s="181">
        <v>0</v>
      </c>
      <c r="R727" s="181">
        <v>0</v>
      </c>
      <c r="S727" s="182">
        <f t="shared" si="44"/>
        <v>4944932.735259765</v>
      </c>
      <c r="T727" s="183"/>
    </row>
    <row r="728" spans="1:20" ht="11.25">
      <c r="A728" s="175" t="s">
        <v>274</v>
      </c>
      <c r="B728" s="175">
        <v>8</v>
      </c>
      <c r="C728" s="176" t="s">
        <v>355</v>
      </c>
      <c r="D728" s="176" t="s">
        <v>322</v>
      </c>
      <c r="E728" s="186" t="s">
        <v>375</v>
      </c>
      <c r="F728" s="186"/>
      <c r="G728" s="176" t="s">
        <v>324</v>
      </c>
      <c r="H728" s="178" t="s">
        <v>325</v>
      </c>
      <c r="I728" s="175" t="s">
        <v>231</v>
      </c>
      <c r="J728" s="179" t="s">
        <v>352</v>
      </c>
      <c r="K728" s="179"/>
      <c r="L728" s="176" t="s">
        <v>388</v>
      </c>
      <c r="M728" s="180">
        <f t="shared" si="45"/>
        <v>5068556.053641259</v>
      </c>
      <c r="N728" s="181">
        <v>0</v>
      </c>
      <c r="O728" s="181">
        <v>0</v>
      </c>
      <c r="P728" s="181">
        <v>0</v>
      </c>
      <c r="Q728" s="181">
        <v>0</v>
      </c>
      <c r="R728" s="181">
        <v>0</v>
      </c>
      <c r="S728" s="182">
        <f t="shared" si="44"/>
        <v>5068556.053641259</v>
      </c>
      <c r="T728" s="183"/>
    </row>
    <row r="729" spans="1:20" ht="11.25">
      <c r="A729" s="175" t="s">
        <v>275</v>
      </c>
      <c r="B729" s="175">
        <v>9</v>
      </c>
      <c r="C729" s="176" t="s">
        <v>355</v>
      </c>
      <c r="D729" s="176" t="s">
        <v>322</v>
      </c>
      <c r="E729" s="186" t="s">
        <v>375</v>
      </c>
      <c r="F729" s="186"/>
      <c r="G729" s="176" t="s">
        <v>324</v>
      </c>
      <c r="H729" s="178" t="s">
        <v>325</v>
      </c>
      <c r="I729" s="175" t="s">
        <v>231</v>
      </c>
      <c r="J729" s="179" t="s">
        <v>352</v>
      </c>
      <c r="K729" s="179"/>
      <c r="L729" s="176" t="s">
        <v>388</v>
      </c>
      <c r="M729" s="180">
        <f t="shared" si="45"/>
        <v>5195269.95498229</v>
      </c>
      <c r="N729" s="181">
        <v>0</v>
      </c>
      <c r="O729" s="181">
        <v>0</v>
      </c>
      <c r="P729" s="181">
        <v>0</v>
      </c>
      <c r="Q729" s="181">
        <v>0</v>
      </c>
      <c r="R729" s="181">
        <v>0</v>
      </c>
      <c r="S729" s="182">
        <f t="shared" si="44"/>
        <v>5195269.95498229</v>
      </c>
      <c r="T729" s="183"/>
    </row>
    <row r="730" spans="1:20" ht="11.25">
      <c r="A730" s="175" t="s">
        <v>276</v>
      </c>
      <c r="B730" s="175">
        <v>10</v>
      </c>
      <c r="C730" s="176" t="s">
        <v>355</v>
      </c>
      <c r="D730" s="176" t="s">
        <v>322</v>
      </c>
      <c r="E730" s="186" t="s">
        <v>375</v>
      </c>
      <c r="F730" s="186"/>
      <c r="G730" s="176" t="s">
        <v>324</v>
      </c>
      <c r="H730" s="178" t="s">
        <v>325</v>
      </c>
      <c r="I730" s="175" t="s">
        <v>231</v>
      </c>
      <c r="J730" s="179" t="s">
        <v>352</v>
      </c>
      <c r="K730" s="179"/>
      <c r="L730" s="176" t="s">
        <v>388</v>
      </c>
      <c r="M730" s="180">
        <f t="shared" si="45"/>
        <v>5325151.703856847</v>
      </c>
      <c r="N730" s="181">
        <v>0</v>
      </c>
      <c r="O730" s="181">
        <v>0</v>
      </c>
      <c r="P730" s="181">
        <v>0</v>
      </c>
      <c r="Q730" s="181">
        <v>0</v>
      </c>
      <c r="R730" s="181">
        <v>0</v>
      </c>
      <c r="S730" s="182">
        <f t="shared" si="44"/>
        <v>5325151.703856847</v>
      </c>
      <c r="T730" s="183"/>
    </row>
    <row r="731" spans="1:20" ht="11.25">
      <c r="A731" s="175" t="s">
        <v>277</v>
      </c>
      <c r="B731" s="175">
        <v>11</v>
      </c>
      <c r="C731" s="176" t="s">
        <v>355</v>
      </c>
      <c r="D731" s="176" t="s">
        <v>322</v>
      </c>
      <c r="E731" s="186" t="s">
        <v>375</v>
      </c>
      <c r="F731" s="186"/>
      <c r="G731" s="176" t="s">
        <v>324</v>
      </c>
      <c r="H731" s="178" t="s">
        <v>325</v>
      </c>
      <c r="I731" s="175" t="s">
        <v>231</v>
      </c>
      <c r="J731" s="179" t="s">
        <v>352</v>
      </c>
      <c r="K731" s="179"/>
      <c r="L731" s="176" t="s">
        <v>388</v>
      </c>
      <c r="M731" s="180">
        <f t="shared" si="45"/>
        <v>5458280.4964532675</v>
      </c>
      <c r="N731" s="181">
        <v>0</v>
      </c>
      <c r="O731" s="181">
        <v>0</v>
      </c>
      <c r="P731" s="181">
        <v>0</v>
      </c>
      <c r="Q731" s="181">
        <v>0</v>
      </c>
      <c r="R731" s="181">
        <v>0</v>
      </c>
      <c r="S731" s="182">
        <f aca="true" t="shared" si="46" ref="S731:S794">M731-SUM(N731:R731)</f>
        <v>5458280.4964532675</v>
      </c>
      <c r="T731" s="183"/>
    </row>
    <row r="732" spans="1:20" ht="11.25">
      <c r="A732" s="175" t="s">
        <v>278</v>
      </c>
      <c r="B732" s="175">
        <v>12</v>
      </c>
      <c r="C732" s="176" t="s">
        <v>355</v>
      </c>
      <c r="D732" s="176" t="s">
        <v>322</v>
      </c>
      <c r="E732" s="186" t="s">
        <v>375</v>
      </c>
      <c r="F732" s="186"/>
      <c r="G732" s="176" t="s">
        <v>324</v>
      </c>
      <c r="H732" s="178" t="s">
        <v>325</v>
      </c>
      <c r="I732" s="175" t="s">
        <v>231</v>
      </c>
      <c r="J732" s="179" t="s">
        <v>352</v>
      </c>
      <c r="K732" s="179"/>
      <c r="L732" s="176" t="s">
        <v>388</v>
      </c>
      <c r="M732" s="180">
        <f t="shared" si="45"/>
        <v>5594737.508864598</v>
      </c>
      <c r="N732" s="181">
        <v>0</v>
      </c>
      <c r="O732" s="181">
        <v>0</v>
      </c>
      <c r="P732" s="181">
        <v>0</v>
      </c>
      <c r="Q732" s="181">
        <v>0</v>
      </c>
      <c r="R732" s="181">
        <v>0</v>
      </c>
      <c r="S732" s="182">
        <f t="shared" si="46"/>
        <v>5594737.508864598</v>
      </c>
      <c r="T732" s="183"/>
    </row>
    <row r="733" spans="1:20" ht="11.25">
      <c r="A733" s="175" t="s">
        <v>279</v>
      </c>
      <c r="B733" s="175">
        <v>13</v>
      </c>
      <c r="C733" s="176" t="s">
        <v>355</v>
      </c>
      <c r="D733" s="176" t="s">
        <v>322</v>
      </c>
      <c r="E733" s="186" t="s">
        <v>375</v>
      </c>
      <c r="F733" s="186"/>
      <c r="G733" s="176" t="s">
        <v>324</v>
      </c>
      <c r="H733" s="178" t="s">
        <v>325</v>
      </c>
      <c r="I733" s="175" t="s">
        <v>231</v>
      </c>
      <c r="J733" s="179" t="s">
        <v>352</v>
      </c>
      <c r="K733" s="179"/>
      <c r="L733" s="176" t="s">
        <v>388</v>
      </c>
      <c r="M733" s="180">
        <f t="shared" si="45"/>
        <v>5734605.946586213</v>
      </c>
      <c r="N733" s="181">
        <v>0</v>
      </c>
      <c r="O733" s="181">
        <v>0</v>
      </c>
      <c r="P733" s="181">
        <v>0</v>
      </c>
      <c r="Q733" s="181">
        <v>0</v>
      </c>
      <c r="R733" s="181">
        <v>0</v>
      </c>
      <c r="S733" s="182">
        <f t="shared" si="46"/>
        <v>5734605.946586213</v>
      </c>
      <c r="T733" s="183"/>
    </row>
    <row r="734" spans="1:20" ht="11.25">
      <c r="A734" s="175" t="s">
        <v>280</v>
      </c>
      <c r="B734" s="175">
        <v>14</v>
      </c>
      <c r="C734" s="176" t="s">
        <v>355</v>
      </c>
      <c r="D734" s="176" t="s">
        <v>322</v>
      </c>
      <c r="E734" s="186" t="s">
        <v>375</v>
      </c>
      <c r="F734" s="186"/>
      <c r="G734" s="176" t="s">
        <v>324</v>
      </c>
      <c r="H734" s="178" t="s">
        <v>325</v>
      </c>
      <c r="I734" s="175" t="s">
        <v>231</v>
      </c>
      <c r="J734" s="179" t="s">
        <v>352</v>
      </c>
      <c r="K734" s="179"/>
      <c r="L734" s="176" t="s">
        <v>388</v>
      </c>
      <c r="M734" s="180">
        <f t="shared" si="45"/>
        <v>5877971.095250868</v>
      </c>
      <c r="N734" s="181">
        <v>0</v>
      </c>
      <c r="O734" s="181">
        <v>0</v>
      </c>
      <c r="P734" s="181">
        <v>0</v>
      </c>
      <c r="Q734" s="181">
        <v>0</v>
      </c>
      <c r="R734" s="181">
        <v>0</v>
      </c>
      <c r="S734" s="182">
        <f t="shared" si="46"/>
        <v>5877971.095250868</v>
      </c>
      <c r="T734" s="183"/>
    </row>
    <row r="735" spans="1:20" ht="11.25">
      <c r="A735" s="175" t="s">
        <v>281</v>
      </c>
      <c r="B735" s="175">
        <v>15</v>
      </c>
      <c r="C735" s="176" t="s">
        <v>355</v>
      </c>
      <c r="D735" s="176" t="s">
        <v>322</v>
      </c>
      <c r="E735" s="186" t="s">
        <v>375</v>
      </c>
      <c r="F735" s="186"/>
      <c r="G735" s="176" t="s">
        <v>324</v>
      </c>
      <c r="H735" s="178" t="s">
        <v>325</v>
      </c>
      <c r="I735" s="175" t="s">
        <v>231</v>
      </c>
      <c r="J735" s="179" t="s">
        <v>352</v>
      </c>
      <c r="K735" s="179"/>
      <c r="L735" s="176" t="s">
        <v>388</v>
      </c>
      <c r="M735" s="180">
        <f t="shared" si="45"/>
        <v>6024920.372632139</v>
      </c>
      <c r="N735" s="181">
        <v>0</v>
      </c>
      <c r="O735" s="181">
        <v>0</v>
      </c>
      <c r="P735" s="181">
        <v>0</v>
      </c>
      <c r="Q735" s="181">
        <v>0</v>
      </c>
      <c r="R735" s="181">
        <v>0</v>
      </c>
      <c r="S735" s="182">
        <f t="shared" si="46"/>
        <v>6024920.372632139</v>
      </c>
      <c r="T735" s="183"/>
    </row>
    <row r="736" spans="1:20" ht="11.25">
      <c r="A736" s="175" t="s">
        <v>282</v>
      </c>
      <c r="B736" s="175">
        <v>16</v>
      </c>
      <c r="C736" s="176" t="s">
        <v>355</v>
      </c>
      <c r="D736" s="176" t="s">
        <v>322</v>
      </c>
      <c r="E736" s="186" t="s">
        <v>375</v>
      </c>
      <c r="F736" s="186"/>
      <c r="G736" s="176" t="s">
        <v>324</v>
      </c>
      <c r="H736" s="178" t="s">
        <v>325</v>
      </c>
      <c r="I736" s="175" t="s">
        <v>231</v>
      </c>
      <c r="J736" s="179" t="s">
        <v>352</v>
      </c>
      <c r="K736" s="179"/>
      <c r="L736" s="176" t="s">
        <v>388</v>
      </c>
      <c r="M736" s="180">
        <f t="shared" si="45"/>
        <v>6175543.381947942</v>
      </c>
      <c r="N736" s="181">
        <v>0</v>
      </c>
      <c r="O736" s="181">
        <v>0</v>
      </c>
      <c r="P736" s="181">
        <v>0</v>
      </c>
      <c r="Q736" s="181">
        <v>0</v>
      </c>
      <c r="R736" s="181">
        <v>0</v>
      </c>
      <c r="S736" s="182">
        <f t="shared" si="46"/>
        <v>6175543.381947942</v>
      </c>
      <c r="T736" s="183"/>
    </row>
    <row r="737" spans="1:20" ht="11.25">
      <c r="A737" s="175" t="s">
        <v>283</v>
      </c>
      <c r="B737" s="175">
        <v>17</v>
      </c>
      <c r="C737" s="176" t="s">
        <v>355</v>
      </c>
      <c r="D737" s="176" t="s">
        <v>322</v>
      </c>
      <c r="E737" s="186" t="s">
        <v>375</v>
      </c>
      <c r="F737" s="186"/>
      <c r="G737" s="176" t="s">
        <v>324</v>
      </c>
      <c r="H737" s="178" t="s">
        <v>325</v>
      </c>
      <c r="I737" s="175" t="s">
        <v>231</v>
      </c>
      <c r="J737" s="179" t="s">
        <v>352</v>
      </c>
      <c r="K737" s="179"/>
      <c r="L737" s="176" t="s">
        <v>388</v>
      </c>
      <c r="M737" s="180">
        <f t="shared" si="45"/>
        <v>6329931.96649664</v>
      </c>
      <c r="N737" s="181">
        <v>0</v>
      </c>
      <c r="O737" s="181">
        <v>0</v>
      </c>
      <c r="P737" s="181">
        <v>0</v>
      </c>
      <c r="Q737" s="181">
        <v>0</v>
      </c>
      <c r="R737" s="181">
        <v>0</v>
      </c>
      <c r="S737" s="182">
        <f t="shared" si="46"/>
        <v>6329931.96649664</v>
      </c>
      <c r="T737" s="183"/>
    </row>
    <row r="738" spans="1:20" ht="11.25">
      <c r="A738" s="175" t="s">
        <v>284</v>
      </c>
      <c r="B738" s="175">
        <v>18</v>
      </c>
      <c r="C738" s="176" t="s">
        <v>355</v>
      </c>
      <c r="D738" s="176" t="s">
        <v>322</v>
      </c>
      <c r="E738" s="186" t="s">
        <v>375</v>
      </c>
      <c r="F738" s="186"/>
      <c r="G738" s="176" t="s">
        <v>324</v>
      </c>
      <c r="H738" s="178" t="s">
        <v>325</v>
      </c>
      <c r="I738" s="175" t="s">
        <v>231</v>
      </c>
      <c r="J738" s="179" t="s">
        <v>352</v>
      </c>
      <c r="K738" s="179"/>
      <c r="L738" s="176" t="s">
        <v>388</v>
      </c>
      <c r="M738" s="180">
        <f t="shared" si="45"/>
        <v>6488180.265659056</v>
      </c>
      <c r="N738" s="181">
        <v>0</v>
      </c>
      <c r="O738" s="181">
        <v>0</v>
      </c>
      <c r="P738" s="181">
        <v>0</v>
      </c>
      <c r="Q738" s="181">
        <v>0</v>
      </c>
      <c r="R738" s="181">
        <v>0</v>
      </c>
      <c r="S738" s="182">
        <f t="shared" si="46"/>
        <v>6488180.265659056</v>
      </c>
      <c r="T738" s="183"/>
    </row>
    <row r="739" spans="1:20" ht="11.25">
      <c r="A739" s="175" t="s">
        <v>285</v>
      </c>
      <c r="B739" s="175">
        <v>19</v>
      </c>
      <c r="C739" s="176" t="s">
        <v>355</v>
      </c>
      <c r="D739" s="176" t="s">
        <v>322</v>
      </c>
      <c r="E739" s="186" t="s">
        <v>375</v>
      </c>
      <c r="F739" s="186"/>
      <c r="G739" s="176" t="s">
        <v>324</v>
      </c>
      <c r="H739" s="178" t="s">
        <v>325</v>
      </c>
      <c r="I739" s="175" t="s">
        <v>231</v>
      </c>
      <c r="J739" s="179" t="s">
        <v>352</v>
      </c>
      <c r="K739" s="179"/>
      <c r="L739" s="176" t="s">
        <v>388</v>
      </c>
      <c r="M739" s="180">
        <f t="shared" si="45"/>
        <v>6650384.772300531</v>
      </c>
      <c r="N739" s="181">
        <v>0</v>
      </c>
      <c r="O739" s="181">
        <v>0</v>
      </c>
      <c r="P739" s="181">
        <v>0</v>
      </c>
      <c r="Q739" s="181">
        <v>0</v>
      </c>
      <c r="R739" s="181">
        <v>0</v>
      </c>
      <c r="S739" s="182">
        <f t="shared" si="46"/>
        <v>6650384.772300531</v>
      </c>
      <c r="T739" s="183"/>
    </row>
    <row r="740" spans="1:20" ht="11.25">
      <c r="A740" s="175" t="s">
        <v>303</v>
      </c>
      <c r="B740" s="175">
        <v>20</v>
      </c>
      <c r="C740" s="176" t="s">
        <v>355</v>
      </c>
      <c r="D740" s="176" t="s">
        <v>322</v>
      </c>
      <c r="E740" s="186" t="s">
        <v>375</v>
      </c>
      <c r="F740" s="186"/>
      <c r="G740" s="176" t="s">
        <v>324</v>
      </c>
      <c r="H740" s="178" t="s">
        <v>325</v>
      </c>
      <c r="I740" s="175" t="s">
        <v>231</v>
      </c>
      <c r="J740" s="179" t="s">
        <v>352</v>
      </c>
      <c r="K740" s="179"/>
      <c r="L740" s="176" t="s">
        <v>388</v>
      </c>
      <c r="M740" s="180">
        <f t="shared" si="45"/>
        <v>6816644.391608044</v>
      </c>
      <c r="N740" s="181">
        <v>0</v>
      </c>
      <c r="O740" s="181">
        <v>0</v>
      </c>
      <c r="P740" s="181">
        <v>0</v>
      </c>
      <c r="Q740" s="181">
        <v>0</v>
      </c>
      <c r="R740" s="181">
        <v>0</v>
      </c>
      <c r="S740" s="182">
        <f t="shared" si="46"/>
        <v>6816644.391608044</v>
      </c>
      <c r="T740" s="183"/>
    </row>
    <row r="741" spans="1:20" ht="11.25">
      <c r="A741" s="175" t="s">
        <v>265</v>
      </c>
      <c r="B741" s="175">
        <v>0</v>
      </c>
      <c r="C741" s="176" t="s">
        <v>469</v>
      </c>
      <c r="D741" s="176" t="s">
        <v>364</v>
      </c>
      <c r="E741" s="177" t="s">
        <v>365</v>
      </c>
      <c r="F741" s="177"/>
      <c r="G741" s="176" t="s">
        <v>324</v>
      </c>
      <c r="H741" s="178" t="s">
        <v>325</v>
      </c>
      <c r="I741" s="175" t="s">
        <v>231</v>
      </c>
      <c r="J741" s="179" t="s">
        <v>326</v>
      </c>
      <c r="K741" s="179"/>
      <c r="L741" s="176" t="s">
        <v>389</v>
      </c>
      <c r="M741" s="180">
        <v>324480</v>
      </c>
      <c r="N741" s="181">
        <v>0</v>
      </c>
      <c r="O741" s="181">
        <v>0</v>
      </c>
      <c r="P741" s="181">
        <v>0</v>
      </c>
      <c r="Q741" s="181">
        <v>0</v>
      </c>
      <c r="R741" s="181">
        <v>0</v>
      </c>
      <c r="S741" s="182">
        <f t="shared" si="46"/>
        <v>324480</v>
      </c>
      <c r="T741" s="183"/>
    </row>
    <row r="742" spans="1:20" ht="11.25">
      <c r="A742" s="175" t="s">
        <v>267</v>
      </c>
      <c r="B742" s="175">
        <v>1</v>
      </c>
      <c r="C742" s="176" t="s">
        <v>469</v>
      </c>
      <c r="D742" s="176" t="s">
        <v>364</v>
      </c>
      <c r="E742" s="177" t="s">
        <v>365</v>
      </c>
      <c r="F742" s="177"/>
      <c r="G742" s="176" t="s">
        <v>324</v>
      </c>
      <c r="H742" s="178" t="s">
        <v>325</v>
      </c>
      <c r="I742" s="175" t="s">
        <v>231</v>
      </c>
      <c r="J742" s="179" t="s">
        <v>352</v>
      </c>
      <c r="K742" s="179"/>
      <c r="L742" s="176" t="s">
        <v>389</v>
      </c>
      <c r="M742" s="180">
        <f>IF(J742="Y",M741*(1+$F$4),IF(J742="I",M741*(1+$E$4),M741))</f>
        <v>332592</v>
      </c>
      <c r="N742" s="181">
        <v>0</v>
      </c>
      <c r="O742" s="181">
        <v>0</v>
      </c>
      <c r="P742" s="181">
        <v>0</v>
      </c>
      <c r="Q742" s="181">
        <v>0</v>
      </c>
      <c r="R742" s="181">
        <v>0</v>
      </c>
      <c r="S742" s="182">
        <f t="shared" si="46"/>
        <v>332592</v>
      </c>
      <c r="T742" s="183"/>
    </row>
    <row r="743" spans="1:20" ht="11.25">
      <c r="A743" s="175" t="s">
        <v>268</v>
      </c>
      <c r="B743" s="175">
        <v>2</v>
      </c>
      <c r="C743" s="176" t="s">
        <v>469</v>
      </c>
      <c r="D743" s="176" t="s">
        <v>364</v>
      </c>
      <c r="E743" s="177" t="s">
        <v>365</v>
      </c>
      <c r="F743" s="177"/>
      <c r="G743" s="176" t="s">
        <v>324</v>
      </c>
      <c r="H743" s="178" t="s">
        <v>325</v>
      </c>
      <c r="I743" s="175" t="s">
        <v>231</v>
      </c>
      <c r="J743" s="179" t="s">
        <v>352</v>
      </c>
      <c r="K743" s="179"/>
      <c r="L743" s="176" t="s">
        <v>389</v>
      </c>
      <c r="M743" s="180">
        <f aca="true" t="shared" si="47" ref="M743:M761">IF(J743="Y",M742*(1+$C$4),IF(J743="I",M742*(1+$E$4),M742))</f>
        <v>340906.8</v>
      </c>
      <c r="N743" s="181">
        <v>0</v>
      </c>
      <c r="O743" s="181">
        <v>0</v>
      </c>
      <c r="P743" s="181">
        <v>0</v>
      </c>
      <c r="Q743" s="181">
        <v>0</v>
      </c>
      <c r="R743" s="181">
        <v>0</v>
      </c>
      <c r="S743" s="182">
        <f t="shared" si="46"/>
        <v>340906.8</v>
      </c>
      <c r="T743" s="183"/>
    </row>
    <row r="744" spans="1:20" ht="11.25">
      <c r="A744" s="175" t="s">
        <v>269</v>
      </c>
      <c r="B744" s="175">
        <v>3</v>
      </c>
      <c r="C744" s="176" t="s">
        <v>469</v>
      </c>
      <c r="D744" s="176" t="s">
        <v>364</v>
      </c>
      <c r="E744" s="177" t="s">
        <v>365</v>
      </c>
      <c r="F744" s="177"/>
      <c r="G744" s="176" t="s">
        <v>324</v>
      </c>
      <c r="H744" s="178" t="s">
        <v>325</v>
      </c>
      <c r="I744" s="175" t="s">
        <v>231</v>
      </c>
      <c r="J744" s="179" t="s">
        <v>352</v>
      </c>
      <c r="K744" s="179"/>
      <c r="L744" s="176" t="s">
        <v>389</v>
      </c>
      <c r="M744" s="180">
        <f t="shared" si="47"/>
        <v>349429.47</v>
      </c>
      <c r="N744" s="181">
        <v>0</v>
      </c>
      <c r="O744" s="181">
        <v>0</v>
      </c>
      <c r="P744" s="181">
        <v>0</v>
      </c>
      <c r="Q744" s="181">
        <v>0</v>
      </c>
      <c r="R744" s="181">
        <v>0</v>
      </c>
      <c r="S744" s="182">
        <f t="shared" si="46"/>
        <v>349429.47</v>
      </c>
      <c r="T744" s="183"/>
    </row>
    <row r="745" spans="1:20" ht="11.25">
      <c r="A745" s="175" t="s">
        <v>270</v>
      </c>
      <c r="B745" s="175">
        <v>4</v>
      </c>
      <c r="C745" s="176" t="s">
        <v>469</v>
      </c>
      <c r="D745" s="176" t="s">
        <v>364</v>
      </c>
      <c r="E745" s="177" t="s">
        <v>365</v>
      </c>
      <c r="F745" s="177"/>
      <c r="G745" s="176" t="s">
        <v>324</v>
      </c>
      <c r="H745" s="178" t="s">
        <v>325</v>
      </c>
      <c r="I745" s="175" t="s">
        <v>231</v>
      </c>
      <c r="J745" s="179" t="s">
        <v>352</v>
      </c>
      <c r="K745" s="179"/>
      <c r="L745" s="176" t="s">
        <v>389</v>
      </c>
      <c r="M745" s="180">
        <f t="shared" si="47"/>
        <v>358165.20674999995</v>
      </c>
      <c r="N745" s="181">
        <v>0</v>
      </c>
      <c r="O745" s="181">
        <v>0</v>
      </c>
      <c r="P745" s="181">
        <v>0</v>
      </c>
      <c r="Q745" s="181">
        <v>0</v>
      </c>
      <c r="R745" s="181">
        <v>0</v>
      </c>
      <c r="S745" s="182">
        <f t="shared" si="46"/>
        <v>358165.20674999995</v>
      </c>
      <c r="T745" s="183"/>
    </row>
    <row r="746" spans="1:20" ht="11.25">
      <c r="A746" s="175" t="s">
        <v>271</v>
      </c>
      <c r="B746" s="175">
        <v>5</v>
      </c>
      <c r="C746" s="176" t="s">
        <v>469</v>
      </c>
      <c r="D746" s="176" t="s">
        <v>364</v>
      </c>
      <c r="E746" s="177" t="s">
        <v>365</v>
      </c>
      <c r="F746" s="177"/>
      <c r="G746" s="176" t="s">
        <v>324</v>
      </c>
      <c r="H746" s="178" t="s">
        <v>325</v>
      </c>
      <c r="I746" s="175" t="s">
        <v>231</v>
      </c>
      <c r="J746" s="179" t="s">
        <v>352</v>
      </c>
      <c r="K746" s="179"/>
      <c r="L746" s="176" t="s">
        <v>389</v>
      </c>
      <c r="M746" s="180">
        <f t="shared" si="47"/>
        <v>367119.3369187499</v>
      </c>
      <c r="N746" s="181">
        <v>0</v>
      </c>
      <c r="O746" s="181">
        <v>0</v>
      </c>
      <c r="P746" s="181">
        <v>0</v>
      </c>
      <c r="Q746" s="181">
        <v>0</v>
      </c>
      <c r="R746" s="181">
        <v>0</v>
      </c>
      <c r="S746" s="182">
        <f t="shared" si="46"/>
        <v>367119.3369187499</v>
      </c>
      <c r="T746" s="183"/>
    </row>
    <row r="747" spans="1:20" ht="11.25">
      <c r="A747" s="175" t="s">
        <v>272</v>
      </c>
      <c r="B747" s="175">
        <v>6</v>
      </c>
      <c r="C747" s="176" t="s">
        <v>469</v>
      </c>
      <c r="D747" s="176" t="s">
        <v>364</v>
      </c>
      <c r="E747" s="177" t="s">
        <v>365</v>
      </c>
      <c r="F747" s="177"/>
      <c r="G747" s="176" t="s">
        <v>324</v>
      </c>
      <c r="H747" s="178" t="s">
        <v>325</v>
      </c>
      <c r="I747" s="175" t="s">
        <v>231</v>
      </c>
      <c r="J747" s="179" t="s">
        <v>352</v>
      </c>
      <c r="K747" s="179"/>
      <c r="L747" s="176" t="s">
        <v>389</v>
      </c>
      <c r="M747" s="180">
        <f t="shared" si="47"/>
        <v>376297.3203417186</v>
      </c>
      <c r="N747" s="181">
        <v>0</v>
      </c>
      <c r="O747" s="181">
        <v>0</v>
      </c>
      <c r="P747" s="181">
        <v>0</v>
      </c>
      <c r="Q747" s="181">
        <v>0</v>
      </c>
      <c r="R747" s="181">
        <v>0</v>
      </c>
      <c r="S747" s="182">
        <f t="shared" si="46"/>
        <v>376297.3203417186</v>
      </c>
      <c r="T747" s="183"/>
    </row>
    <row r="748" spans="1:20" ht="11.25">
      <c r="A748" s="175" t="s">
        <v>273</v>
      </c>
      <c r="B748" s="175">
        <v>7</v>
      </c>
      <c r="C748" s="176" t="s">
        <v>469</v>
      </c>
      <c r="D748" s="176" t="s">
        <v>364</v>
      </c>
      <c r="E748" s="177" t="s">
        <v>365</v>
      </c>
      <c r="F748" s="177"/>
      <c r="G748" s="176" t="s">
        <v>324</v>
      </c>
      <c r="H748" s="178" t="s">
        <v>325</v>
      </c>
      <c r="I748" s="175" t="s">
        <v>231</v>
      </c>
      <c r="J748" s="179" t="s">
        <v>352</v>
      </c>
      <c r="K748" s="179"/>
      <c r="L748" s="176" t="s">
        <v>389</v>
      </c>
      <c r="M748" s="180">
        <f t="shared" si="47"/>
        <v>385704.75335026154</v>
      </c>
      <c r="N748" s="181">
        <v>0</v>
      </c>
      <c r="O748" s="181">
        <v>0</v>
      </c>
      <c r="P748" s="181">
        <v>0</v>
      </c>
      <c r="Q748" s="181">
        <v>0</v>
      </c>
      <c r="R748" s="181">
        <v>0</v>
      </c>
      <c r="S748" s="182">
        <f t="shared" si="46"/>
        <v>385704.75335026154</v>
      </c>
      <c r="T748" s="183"/>
    </row>
    <row r="749" spans="1:20" ht="11.25">
      <c r="A749" s="175" t="s">
        <v>274</v>
      </c>
      <c r="B749" s="175">
        <v>8</v>
      </c>
      <c r="C749" s="176" t="s">
        <v>469</v>
      </c>
      <c r="D749" s="176" t="s">
        <v>364</v>
      </c>
      <c r="E749" s="177" t="s">
        <v>365</v>
      </c>
      <c r="F749" s="177"/>
      <c r="G749" s="176" t="s">
        <v>324</v>
      </c>
      <c r="H749" s="178" t="s">
        <v>325</v>
      </c>
      <c r="I749" s="175" t="s">
        <v>231</v>
      </c>
      <c r="J749" s="179" t="s">
        <v>352</v>
      </c>
      <c r="K749" s="179"/>
      <c r="L749" s="176" t="s">
        <v>389</v>
      </c>
      <c r="M749" s="180">
        <f t="shared" si="47"/>
        <v>395347.372184018</v>
      </c>
      <c r="N749" s="181">
        <v>0</v>
      </c>
      <c r="O749" s="181">
        <v>0</v>
      </c>
      <c r="P749" s="181">
        <v>0</v>
      </c>
      <c r="Q749" s="181">
        <v>0</v>
      </c>
      <c r="R749" s="181">
        <v>0</v>
      </c>
      <c r="S749" s="182">
        <f t="shared" si="46"/>
        <v>395347.372184018</v>
      </c>
      <c r="T749" s="183"/>
    </row>
    <row r="750" spans="1:20" ht="11.25">
      <c r="A750" s="175" t="s">
        <v>275</v>
      </c>
      <c r="B750" s="175">
        <v>9</v>
      </c>
      <c r="C750" s="176" t="s">
        <v>469</v>
      </c>
      <c r="D750" s="176" t="s">
        <v>364</v>
      </c>
      <c r="E750" s="177" t="s">
        <v>365</v>
      </c>
      <c r="F750" s="177"/>
      <c r="G750" s="176" t="s">
        <v>324</v>
      </c>
      <c r="H750" s="178" t="s">
        <v>325</v>
      </c>
      <c r="I750" s="175" t="s">
        <v>231</v>
      </c>
      <c r="J750" s="179" t="s">
        <v>352</v>
      </c>
      <c r="K750" s="179"/>
      <c r="L750" s="176" t="s">
        <v>389</v>
      </c>
      <c r="M750" s="180">
        <f t="shared" si="47"/>
        <v>405231.05648861843</v>
      </c>
      <c r="N750" s="181">
        <v>0</v>
      </c>
      <c r="O750" s="181">
        <v>0</v>
      </c>
      <c r="P750" s="181">
        <v>0</v>
      </c>
      <c r="Q750" s="181">
        <v>0</v>
      </c>
      <c r="R750" s="181">
        <v>0</v>
      </c>
      <c r="S750" s="182">
        <f t="shared" si="46"/>
        <v>405231.05648861843</v>
      </c>
      <c r="T750" s="183"/>
    </row>
    <row r="751" spans="1:20" ht="11.25">
      <c r="A751" s="175" t="s">
        <v>276</v>
      </c>
      <c r="B751" s="175">
        <v>10</v>
      </c>
      <c r="C751" s="176" t="s">
        <v>469</v>
      </c>
      <c r="D751" s="176" t="s">
        <v>364</v>
      </c>
      <c r="E751" s="177" t="s">
        <v>365</v>
      </c>
      <c r="F751" s="177"/>
      <c r="G751" s="176" t="s">
        <v>324</v>
      </c>
      <c r="H751" s="178" t="s">
        <v>325</v>
      </c>
      <c r="I751" s="175" t="s">
        <v>231</v>
      </c>
      <c r="J751" s="179" t="s">
        <v>352</v>
      </c>
      <c r="K751" s="179"/>
      <c r="L751" s="176" t="s">
        <v>389</v>
      </c>
      <c r="M751" s="180">
        <f t="shared" si="47"/>
        <v>415361.83290083386</v>
      </c>
      <c r="N751" s="181">
        <v>0</v>
      </c>
      <c r="O751" s="181">
        <v>0</v>
      </c>
      <c r="P751" s="181">
        <v>0</v>
      </c>
      <c r="Q751" s="181">
        <v>0</v>
      </c>
      <c r="R751" s="181">
        <v>0</v>
      </c>
      <c r="S751" s="182">
        <f t="shared" si="46"/>
        <v>415361.83290083386</v>
      </c>
      <c r="T751" s="183"/>
    </row>
    <row r="752" spans="1:20" ht="11.25">
      <c r="A752" s="175" t="s">
        <v>277</v>
      </c>
      <c r="B752" s="175">
        <v>11</v>
      </c>
      <c r="C752" s="176" t="s">
        <v>469</v>
      </c>
      <c r="D752" s="176" t="s">
        <v>364</v>
      </c>
      <c r="E752" s="177" t="s">
        <v>365</v>
      </c>
      <c r="F752" s="177"/>
      <c r="G752" s="176" t="s">
        <v>324</v>
      </c>
      <c r="H752" s="178" t="s">
        <v>325</v>
      </c>
      <c r="I752" s="175" t="s">
        <v>231</v>
      </c>
      <c r="J752" s="179" t="s">
        <v>352</v>
      </c>
      <c r="K752" s="179"/>
      <c r="L752" s="176" t="s">
        <v>389</v>
      </c>
      <c r="M752" s="180">
        <f t="shared" si="47"/>
        <v>425745.87872335466</v>
      </c>
      <c r="N752" s="181">
        <v>0</v>
      </c>
      <c r="O752" s="181">
        <v>0</v>
      </c>
      <c r="P752" s="181">
        <v>0</v>
      </c>
      <c r="Q752" s="181">
        <v>0</v>
      </c>
      <c r="R752" s="181">
        <v>0</v>
      </c>
      <c r="S752" s="182">
        <f t="shared" si="46"/>
        <v>425745.87872335466</v>
      </c>
      <c r="T752" s="183"/>
    </row>
    <row r="753" spans="1:20" ht="11.25">
      <c r="A753" s="175" t="s">
        <v>278</v>
      </c>
      <c r="B753" s="175">
        <v>12</v>
      </c>
      <c r="C753" s="176" t="s">
        <v>469</v>
      </c>
      <c r="D753" s="176" t="s">
        <v>364</v>
      </c>
      <c r="E753" s="177" t="s">
        <v>365</v>
      </c>
      <c r="F753" s="177"/>
      <c r="G753" s="176" t="s">
        <v>324</v>
      </c>
      <c r="H753" s="178" t="s">
        <v>325</v>
      </c>
      <c r="I753" s="175" t="s">
        <v>231</v>
      </c>
      <c r="J753" s="179" t="s">
        <v>352</v>
      </c>
      <c r="K753" s="179"/>
      <c r="L753" s="176" t="s">
        <v>389</v>
      </c>
      <c r="M753" s="180">
        <f t="shared" si="47"/>
        <v>436389.52569143847</v>
      </c>
      <c r="N753" s="181">
        <v>0</v>
      </c>
      <c r="O753" s="181">
        <v>0</v>
      </c>
      <c r="P753" s="181">
        <v>0</v>
      </c>
      <c r="Q753" s="181">
        <v>0</v>
      </c>
      <c r="R753" s="181">
        <v>0</v>
      </c>
      <c r="S753" s="182">
        <f t="shared" si="46"/>
        <v>436389.52569143847</v>
      </c>
      <c r="T753" s="183"/>
    </row>
    <row r="754" spans="1:20" ht="11.25">
      <c r="A754" s="175" t="s">
        <v>279</v>
      </c>
      <c r="B754" s="175">
        <v>13</v>
      </c>
      <c r="C754" s="176" t="s">
        <v>469</v>
      </c>
      <c r="D754" s="176" t="s">
        <v>364</v>
      </c>
      <c r="E754" s="177" t="s">
        <v>365</v>
      </c>
      <c r="F754" s="177"/>
      <c r="G754" s="176" t="s">
        <v>324</v>
      </c>
      <c r="H754" s="178" t="s">
        <v>325</v>
      </c>
      <c r="I754" s="175" t="s">
        <v>231</v>
      </c>
      <c r="J754" s="179" t="s">
        <v>352</v>
      </c>
      <c r="K754" s="179"/>
      <c r="L754" s="176" t="s">
        <v>389</v>
      </c>
      <c r="M754" s="180">
        <f t="shared" si="47"/>
        <v>447299.26383372437</v>
      </c>
      <c r="N754" s="181">
        <v>0</v>
      </c>
      <c r="O754" s="181">
        <v>0</v>
      </c>
      <c r="P754" s="181">
        <v>0</v>
      </c>
      <c r="Q754" s="181">
        <v>0</v>
      </c>
      <c r="R754" s="181">
        <v>0</v>
      </c>
      <c r="S754" s="182">
        <f t="shared" si="46"/>
        <v>447299.26383372437</v>
      </c>
      <c r="T754" s="183"/>
    </row>
    <row r="755" spans="1:20" ht="11.25">
      <c r="A755" s="175" t="s">
        <v>280</v>
      </c>
      <c r="B755" s="175">
        <v>14</v>
      </c>
      <c r="C755" s="176" t="s">
        <v>469</v>
      </c>
      <c r="D755" s="176" t="s">
        <v>364</v>
      </c>
      <c r="E755" s="177" t="s">
        <v>365</v>
      </c>
      <c r="F755" s="177"/>
      <c r="G755" s="176" t="s">
        <v>324</v>
      </c>
      <c r="H755" s="178" t="s">
        <v>325</v>
      </c>
      <c r="I755" s="175" t="s">
        <v>231</v>
      </c>
      <c r="J755" s="179" t="s">
        <v>352</v>
      </c>
      <c r="K755" s="179"/>
      <c r="L755" s="176" t="s">
        <v>389</v>
      </c>
      <c r="M755" s="180">
        <f t="shared" si="47"/>
        <v>458481.7454295674</v>
      </c>
      <c r="N755" s="181">
        <v>0</v>
      </c>
      <c r="O755" s="181">
        <v>0</v>
      </c>
      <c r="P755" s="181">
        <v>0</v>
      </c>
      <c r="Q755" s="181">
        <v>0</v>
      </c>
      <c r="R755" s="181">
        <v>0</v>
      </c>
      <c r="S755" s="182">
        <f t="shared" si="46"/>
        <v>458481.7454295674</v>
      </c>
      <c r="T755" s="183"/>
    </row>
    <row r="756" spans="1:20" ht="11.25">
      <c r="A756" s="175" t="s">
        <v>281</v>
      </c>
      <c r="B756" s="175">
        <v>15</v>
      </c>
      <c r="C756" s="176" t="s">
        <v>469</v>
      </c>
      <c r="D756" s="176" t="s">
        <v>364</v>
      </c>
      <c r="E756" s="177" t="s">
        <v>365</v>
      </c>
      <c r="F756" s="177"/>
      <c r="G756" s="176" t="s">
        <v>324</v>
      </c>
      <c r="H756" s="178" t="s">
        <v>325</v>
      </c>
      <c r="I756" s="175" t="s">
        <v>231</v>
      </c>
      <c r="J756" s="179" t="s">
        <v>352</v>
      </c>
      <c r="K756" s="179"/>
      <c r="L756" s="176" t="s">
        <v>389</v>
      </c>
      <c r="M756" s="180">
        <f t="shared" si="47"/>
        <v>469943.78906530654</v>
      </c>
      <c r="N756" s="181">
        <v>0</v>
      </c>
      <c r="O756" s="181">
        <v>0</v>
      </c>
      <c r="P756" s="181">
        <v>0</v>
      </c>
      <c r="Q756" s="181">
        <v>0</v>
      </c>
      <c r="R756" s="181">
        <v>0</v>
      </c>
      <c r="S756" s="182">
        <f t="shared" si="46"/>
        <v>469943.78906530654</v>
      </c>
      <c r="T756" s="183"/>
    </row>
    <row r="757" spans="1:20" ht="11.25">
      <c r="A757" s="175" t="s">
        <v>282</v>
      </c>
      <c r="B757" s="175">
        <v>16</v>
      </c>
      <c r="C757" s="176" t="s">
        <v>469</v>
      </c>
      <c r="D757" s="176" t="s">
        <v>364</v>
      </c>
      <c r="E757" s="177" t="s">
        <v>365</v>
      </c>
      <c r="F757" s="177"/>
      <c r="G757" s="176" t="s">
        <v>324</v>
      </c>
      <c r="H757" s="178" t="s">
        <v>325</v>
      </c>
      <c r="I757" s="175" t="s">
        <v>231</v>
      </c>
      <c r="J757" s="179" t="s">
        <v>352</v>
      </c>
      <c r="K757" s="179"/>
      <c r="L757" s="176" t="s">
        <v>389</v>
      </c>
      <c r="M757" s="180">
        <f t="shared" si="47"/>
        <v>481692.3837919392</v>
      </c>
      <c r="N757" s="181">
        <v>0</v>
      </c>
      <c r="O757" s="181">
        <v>0</v>
      </c>
      <c r="P757" s="181">
        <v>0</v>
      </c>
      <c r="Q757" s="181">
        <v>0</v>
      </c>
      <c r="R757" s="181">
        <v>0</v>
      </c>
      <c r="S757" s="182">
        <f t="shared" si="46"/>
        <v>481692.3837919392</v>
      </c>
      <c r="T757" s="183"/>
    </row>
    <row r="758" spans="1:20" ht="11.25">
      <c r="A758" s="175" t="s">
        <v>283</v>
      </c>
      <c r="B758" s="175">
        <v>17</v>
      </c>
      <c r="C758" s="176" t="s">
        <v>469</v>
      </c>
      <c r="D758" s="176" t="s">
        <v>364</v>
      </c>
      <c r="E758" s="177" t="s">
        <v>365</v>
      </c>
      <c r="F758" s="177"/>
      <c r="G758" s="176" t="s">
        <v>324</v>
      </c>
      <c r="H758" s="178" t="s">
        <v>325</v>
      </c>
      <c r="I758" s="175" t="s">
        <v>231</v>
      </c>
      <c r="J758" s="179" t="s">
        <v>352</v>
      </c>
      <c r="K758" s="179"/>
      <c r="L758" s="176" t="s">
        <v>389</v>
      </c>
      <c r="M758" s="180">
        <f t="shared" si="47"/>
        <v>493734.6933867376</v>
      </c>
      <c r="N758" s="181">
        <v>0</v>
      </c>
      <c r="O758" s="181">
        <v>0</v>
      </c>
      <c r="P758" s="181">
        <v>0</v>
      </c>
      <c r="Q758" s="181">
        <v>0</v>
      </c>
      <c r="R758" s="181">
        <v>0</v>
      </c>
      <c r="S758" s="182">
        <f t="shared" si="46"/>
        <v>493734.6933867376</v>
      </c>
      <c r="T758" s="183"/>
    </row>
    <row r="759" spans="1:20" ht="11.25">
      <c r="A759" s="175" t="s">
        <v>284</v>
      </c>
      <c r="B759" s="175">
        <v>18</v>
      </c>
      <c r="C759" s="176" t="s">
        <v>469</v>
      </c>
      <c r="D759" s="176" t="s">
        <v>364</v>
      </c>
      <c r="E759" s="177" t="s">
        <v>365</v>
      </c>
      <c r="F759" s="177"/>
      <c r="G759" s="176" t="s">
        <v>324</v>
      </c>
      <c r="H759" s="178" t="s">
        <v>325</v>
      </c>
      <c r="I759" s="175" t="s">
        <v>231</v>
      </c>
      <c r="J759" s="179" t="s">
        <v>352</v>
      </c>
      <c r="K759" s="179"/>
      <c r="L759" s="176" t="s">
        <v>389</v>
      </c>
      <c r="M759" s="180">
        <f t="shared" si="47"/>
        <v>506078.060721406</v>
      </c>
      <c r="N759" s="181">
        <v>0</v>
      </c>
      <c r="O759" s="181">
        <v>0</v>
      </c>
      <c r="P759" s="181">
        <v>0</v>
      </c>
      <c r="Q759" s="181">
        <v>0</v>
      </c>
      <c r="R759" s="181">
        <v>0</v>
      </c>
      <c r="S759" s="182">
        <f t="shared" si="46"/>
        <v>506078.060721406</v>
      </c>
      <c r="T759" s="183"/>
    </row>
    <row r="760" spans="1:20" ht="11.25">
      <c r="A760" s="175" t="s">
        <v>285</v>
      </c>
      <c r="B760" s="175">
        <v>19</v>
      </c>
      <c r="C760" s="176" t="s">
        <v>469</v>
      </c>
      <c r="D760" s="176" t="s">
        <v>364</v>
      </c>
      <c r="E760" s="177" t="s">
        <v>365</v>
      </c>
      <c r="F760" s="177"/>
      <c r="G760" s="176" t="s">
        <v>324</v>
      </c>
      <c r="H760" s="178" t="s">
        <v>325</v>
      </c>
      <c r="I760" s="175" t="s">
        <v>231</v>
      </c>
      <c r="J760" s="179" t="s">
        <v>352</v>
      </c>
      <c r="K760" s="179"/>
      <c r="L760" s="176" t="s">
        <v>389</v>
      </c>
      <c r="M760" s="180">
        <f t="shared" si="47"/>
        <v>518730.0122394411</v>
      </c>
      <c r="N760" s="181">
        <v>0</v>
      </c>
      <c r="O760" s="181">
        <v>0</v>
      </c>
      <c r="P760" s="181">
        <v>0</v>
      </c>
      <c r="Q760" s="181">
        <v>0</v>
      </c>
      <c r="R760" s="181">
        <v>0</v>
      </c>
      <c r="S760" s="182">
        <f t="shared" si="46"/>
        <v>518730.0122394411</v>
      </c>
      <c r="T760" s="183"/>
    </row>
    <row r="761" spans="1:20" ht="11.25">
      <c r="A761" s="175" t="s">
        <v>303</v>
      </c>
      <c r="B761" s="175">
        <v>20</v>
      </c>
      <c r="C761" s="176" t="s">
        <v>469</v>
      </c>
      <c r="D761" s="176" t="s">
        <v>364</v>
      </c>
      <c r="E761" s="177" t="s">
        <v>365</v>
      </c>
      <c r="F761" s="177"/>
      <c r="G761" s="176" t="s">
        <v>324</v>
      </c>
      <c r="H761" s="178" t="s">
        <v>325</v>
      </c>
      <c r="I761" s="175" t="s">
        <v>231</v>
      </c>
      <c r="J761" s="179" t="s">
        <v>352</v>
      </c>
      <c r="K761" s="179"/>
      <c r="L761" s="176" t="s">
        <v>389</v>
      </c>
      <c r="M761" s="180">
        <f t="shared" si="47"/>
        <v>531698.2625454271</v>
      </c>
      <c r="N761" s="181">
        <v>0</v>
      </c>
      <c r="O761" s="181">
        <v>0</v>
      </c>
      <c r="P761" s="181">
        <v>0</v>
      </c>
      <c r="Q761" s="181">
        <v>0</v>
      </c>
      <c r="R761" s="181">
        <v>0</v>
      </c>
      <c r="S761" s="182">
        <f t="shared" si="46"/>
        <v>531698.2625454271</v>
      </c>
      <c r="T761" s="183"/>
    </row>
    <row r="762" spans="1:20" ht="11.25">
      <c r="A762" s="175" t="s">
        <v>265</v>
      </c>
      <c r="B762" s="175">
        <v>0</v>
      </c>
      <c r="C762" s="176" t="s">
        <v>469</v>
      </c>
      <c r="D762" s="176" t="s">
        <v>331</v>
      </c>
      <c r="E762" s="176" t="s">
        <v>350</v>
      </c>
      <c r="F762" s="176"/>
      <c r="G762" s="176" t="s">
        <v>324</v>
      </c>
      <c r="H762" s="178" t="s">
        <v>325</v>
      </c>
      <c r="I762" s="175" t="s">
        <v>231</v>
      </c>
      <c r="J762" s="179" t="s">
        <v>326</v>
      </c>
      <c r="K762" s="179"/>
      <c r="L762" s="176" t="s">
        <v>390</v>
      </c>
      <c r="M762" s="180">
        <v>7571141</v>
      </c>
      <c r="N762" s="181">
        <v>0</v>
      </c>
      <c r="O762" s="181">
        <v>0</v>
      </c>
      <c r="P762" s="181">
        <v>0</v>
      </c>
      <c r="Q762" s="181">
        <v>0</v>
      </c>
      <c r="R762" s="181">
        <v>0</v>
      </c>
      <c r="S762" s="182">
        <f t="shared" si="46"/>
        <v>7571141</v>
      </c>
      <c r="T762" s="183"/>
    </row>
    <row r="763" spans="1:20" ht="11.25">
      <c r="A763" s="175" t="s">
        <v>267</v>
      </c>
      <c r="B763" s="175">
        <v>1</v>
      </c>
      <c r="C763" s="176" t="s">
        <v>469</v>
      </c>
      <c r="D763" s="176" t="s">
        <v>331</v>
      </c>
      <c r="E763" s="176" t="s">
        <v>350</v>
      </c>
      <c r="F763" s="176"/>
      <c r="G763" s="176" t="s">
        <v>324</v>
      </c>
      <c r="H763" s="178" t="s">
        <v>325</v>
      </c>
      <c r="I763" s="175" t="s">
        <v>231</v>
      </c>
      <c r="J763" s="179" t="s">
        <v>231</v>
      </c>
      <c r="K763" s="179"/>
      <c r="L763" s="176" t="s">
        <v>390</v>
      </c>
      <c r="M763" s="180">
        <f>IF(J763="Y",M762*(1+$F$4),IF(J763="I",M762*(1+$E$4),M762))</f>
        <v>7873986.640000001</v>
      </c>
      <c r="N763" s="181">
        <v>0</v>
      </c>
      <c r="O763" s="181">
        <v>0</v>
      </c>
      <c r="P763" s="181">
        <v>0</v>
      </c>
      <c r="Q763" s="181">
        <v>0</v>
      </c>
      <c r="R763" s="181">
        <v>0</v>
      </c>
      <c r="S763" s="182">
        <f t="shared" si="46"/>
        <v>7873986.640000001</v>
      </c>
      <c r="T763" s="183"/>
    </row>
    <row r="764" spans="1:20" ht="11.25">
      <c r="A764" s="175" t="s">
        <v>268</v>
      </c>
      <c r="B764" s="175">
        <v>2</v>
      </c>
      <c r="C764" s="176" t="s">
        <v>469</v>
      </c>
      <c r="D764" s="176" t="s">
        <v>331</v>
      </c>
      <c r="E764" s="176" t="s">
        <v>350</v>
      </c>
      <c r="F764" s="176"/>
      <c r="G764" s="176" t="s">
        <v>324</v>
      </c>
      <c r="H764" s="178" t="s">
        <v>325</v>
      </c>
      <c r="I764" s="175" t="s">
        <v>231</v>
      </c>
      <c r="J764" s="179" t="s">
        <v>231</v>
      </c>
      <c r="K764" s="179"/>
      <c r="L764" s="176" t="s">
        <v>390</v>
      </c>
      <c r="M764" s="180">
        <f aca="true" t="shared" si="48" ref="M764:M782">IF(J764="Y",M763*(1+$C$4),IF(J764="I",M763*(1+$E$4),M763))</f>
        <v>8188946.105600001</v>
      </c>
      <c r="N764" s="181">
        <v>0</v>
      </c>
      <c r="O764" s="181">
        <v>0</v>
      </c>
      <c r="P764" s="181">
        <v>0</v>
      </c>
      <c r="Q764" s="181">
        <v>0</v>
      </c>
      <c r="R764" s="181">
        <v>0</v>
      </c>
      <c r="S764" s="182">
        <f t="shared" si="46"/>
        <v>8188946.105600001</v>
      </c>
      <c r="T764" s="183"/>
    </row>
    <row r="765" spans="1:20" ht="11.25">
      <c r="A765" s="175" t="s">
        <v>269</v>
      </c>
      <c r="B765" s="175">
        <v>3</v>
      </c>
      <c r="C765" s="176" t="s">
        <v>469</v>
      </c>
      <c r="D765" s="176" t="s">
        <v>331</v>
      </c>
      <c r="E765" s="176" t="s">
        <v>350</v>
      </c>
      <c r="F765" s="176"/>
      <c r="G765" s="176" t="s">
        <v>324</v>
      </c>
      <c r="H765" s="178" t="s">
        <v>325</v>
      </c>
      <c r="I765" s="175" t="s">
        <v>231</v>
      </c>
      <c r="J765" s="179" t="s">
        <v>231</v>
      </c>
      <c r="K765" s="179"/>
      <c r="L765" s="176" t="s">
        <v>390</v>
      </c>
      <c r="M765" s="180">
        <f t="shared" si="48"/>
        <v>8516503.949824002</v>
      </c>
      <c r="N765" s="181">
        <v>0</v>
      </c>
      <c r="O765" s="181">
        <v>0</v>
      </c>
      <c r="P765" s="181">
        <v>0</v>
      </c>
      <c r="Q765" s="181">
        <v>0</v>
      </c>
      <c r="R765" s="181">
        <v>0</v>
      </c>
      <c r="S765" s="182">
        <f t="shared" si="46"/>
        <v>8516503.949824002</v>
      </c>
      <c r="T765" s="183"/>
    </row>
    <row r="766" spans="1:20" ht="11.25">
      <c r="A766" s="175" t="s">
        <v>270</v>
      </c>
      <c r="B766" s="175">
        <v>4</v>
      </c>
      <c r="C766" s="176" t="s">
        <v>469</v>
      </c>
      <c r="D766" s="176" t="s">
        <v>331</v>
      </c>
      <c r="E766" s="176" t="s">
        <v>350</v>
      </c>
      <c r="F766" s="176"/>
      <c r="G766" s="176" t="s">
        <v>324</v>
      </c>
      <c r="H766" s="178" t="s">
        <v>325</v>
      </c>
      <c r="I766" s="175" t="s">
        <v>231</v>
      </c>
      <c r="J766" s="179" t="s">
        <v>231</v>
      </c>
      <c r="K766" s="179"/>
      <c r="L766" s="176" t="s">
        <v>390</v>
      </c>
      <c r="M766" s="180">
        <f t="shared" si="48"/>
        <v>8857164.107816963</v>
      </c>
      <c r="N766" s="181">
        <v>0</v>
      </c>
      <c r="O766" s="181">
        <v>0</v>
      </c>
      <c r="P766" s="181">
        <v>0</v>
      </c>
      <c r="Q766" s="181">
        <v>0</v>
      </c>
      <c r="R766" s="181">
        <v>0</v>
      </c>
      <c r="S766" s="182">
        <f t="shared" si="46"/>
        <v>8857164.107816963</v>
      </c>
      <c r="T766" s="183"/>
    </row>
    <row r="767" spans="1:20" ht="11.25">
      <c r="A767" s="175" t="s">
        <v>271</v>
      </c>
      <c r="B767" s="175">
        <v>5</v>
      </c>
      <c r="C767" s="176" t="s">
        <v>469</v>
      </c>
      <c r="D767" s="176" t="s">
        <v>331</v>
      </c>
      <c r="E767" s="176" t="s">
        <v>350</v>
      </c>
      <c r="F767" s="176"/>
      <c r="G767" s="176" t="s">
        <v>324</v>
      </c>
      <c r="H767" s="178" t="s">
        <v>325</v>
      </c>
      <c r="I767" s="175" t="s">
        <v>231</v>
      </c>
      <c r="J767" s="179" t="s">
        <v>231</v>
      </c>
      <c r="K767" s="179"/>
      <c r="L767" s="176" t="s">
        <v>390</v>
      </c>
      <c r="M767" s="180">
        <f t="shared" si="48"/>
        <v>9211450.672129642</v>
      </c>
      <c r="N767" s="181">
        <v>0</v>
      </c>
      <c r="O767" s="181">
        <v>0</v>
      </c>
      <c r="P767" s="181">
        <v>0</v>
      </c>
      <c r="Q767" s="181">
        <v>0</v>
      </c>
      <c r="R767" s="181">
        <v>0</v>
      </c>
      <c r="S767" s="182">
        <f t="shared" si="46"/>
        <v>9211450.672129642</v>
      </c>
      <c r="T767" s="183"/>
    </row>
    <row r="768" spans="1:20" ht="11.25">
      <c r="A768" s="175" t="s">
        <v>272</v>
      </c>
      <c r="B768" s="175">
        <v>6</v>
      </c>
      <c r="C768" s="176" t="s">
        <v>469</v>
      </c>
      <c r="D768" s="176" t="s">
        <v>331</v>
      </c>
      <c r="E768" s="176" t="s">
        <v>350</v>
      </c>
      <c r="F768" s="176"/>
      <c r="G768" s="176" t="s">
        <v>324</v>
      </c>
      <c r="H768" s="178" t="s">
        <v>325</v>
      </c>
      <c r="I768" s="175" t="s">
        <v>231</v>
      </c>
      <c r="J768" s="179" t="s">
        <v>231</v>
      </c>
      <c r="K768" s="179"/>
      <c r="L768" s="176" t="s">
        <v>390</v>
      </c>
      <c r="M768" s="180">
        <f t="shared" si="48"/>
        <v>9579908.699014828</v>
      </c>
      <c r="N768" s="181">
        <v>0</v>
      </c>
      <c r="O768" s="181">
        <v>0</v>
      </c>
      <c r="P768" s="181">
        <v>0</v>
      </c>
      <c r="Q768" s="181">
        <v>0</v>
      </c>
      <c r="R768" s="181">
        <v>0</v>
      </c>
      <c r="S768" s="182">
        <f t="shared" si="46"/>
        <v>9579908.699014828</v>
      </c>
      <c r="T768" s="183"/>
    </row>
    <row r="769" spans="1:20" ht="11.25">
      <c r="A769" s="175" t="s">
        <v>273</v>
      </c>
      <c r="B769" s="175">
        <v>7</v>
      </c>
      <c r="C769" s="176" t="s">
        <v>469</v>
      </c>
      <c r="D769" s="176" t="s">
        <v>331</v>
      </c>
      <c r="E769" s="176" t="s">
        <v>350</v>
      </c>
      <c r="F769" s="176"/>
      <c r="G769" s="176" t="s">
        <v>324</v>
      </c>
      <c r="H769" s="178" t="s">
        <v>325</v>
      </c>
      <c r="I769" s="175" t="s">
        <v>231</v>
      </c>
      <c r="J769" s="179" t="s">
        <v>231</v>
      </c>
      <c r="K769" s="179"/>
      <c r="L769" s="176" t="s">
        <v>390</v>
      </c>
      <c r="M769" s="180">
        <f t="shared" si="48"/>
        <v>9963105.04697542</v>
      </c>
      <c r="N769" s="181">
        <v>0</v>
      </c>
      <c r="O769" s="181">
        <v>0</v>
      </c>
      <c r="P769" s="181">
        <v>0</v>
      </c>
      <c r="Q769" s="181">
        <v>0</v>
      </c>
      <c r="R769" s="181">
        <v>0</v>
      </c>
      <c r="S769" s="182">
        <f t="shared" si="46"/>
        <v>9963105.04697542</v>
      </c>
      <c r="T769" s="183"/>
    </row>
    <row r="770" spans="1:20" ht="11.25">
      <c r="A770" s="175" t="s">
        <v>274</v>
      </c>
      <c r="B770" s="175">
        <v>8</v>
      </c>
      <c r="C770" s="176" t="s">
        <v>469</v>
      </c>
      <c r="D770" s="176" t="s">
        <v>331</v>
      </c>
      <c r="E770" s="176" t="s">
        <v>350</v>
      </c>
      <c r="F770" s="176"/>
      <c r="G770" s="176" t="s">
        <v>324</v>
      </c>
      <c r="H770" s="178" t="s">
        <v>325</v>
      </c>
      <c r="I770" s="175" t="s">
        <v>231</v>
      </c>
      <c r="J770" s="179" t="s">
        <v>231</v>
      </c>
      <c r="K770" s="179"/>
      <c r="L770" s="176" t="s">
        <v>390</v>
      </c>
      <c r="M770" s="180">
        <f t="shared" si="48"/>
        <v>10361629.248854438</v>
      </c>
      <c r="N770" s="181">
        <v>0</v>
      </c>
      <c r="O770" s="181">
        <v>0</v>
      </c>
      <c r="P770" s="181">
        <v>0</v>
      </c>
      <c r="Q770" s="181">
        <v>0</v>
      </c>
      <c r="R770" s="181">
        <v>0</v>
      </c>
      <c r="S770" s="182">
        <f t="shared" si="46"/>
        <v>10361629.248854438</v>
      </c>
      <c r="T770" s="183"/>
    </row>
    <row r="771" spans="1:20" ht="11.25">
      <c r="A771" s="175" t="s">
        <v>275</v>
      </c>
      <c r="B771" s="175">
        <v>9</v>
      </c>
      <c r="C771" s="176" t="s">
        <v>469</v>
      </c>
      <c r="D771" s="176" t="s">
        <v>331</v>
      </c>
      <c r="E771" s="176" t="s">
        <v>350</v>
      </c>
      <c r="F771" s="176"/>
      <c r="G771" s="176" t="s">
        <v>324</v>
      </c>
      <c r="H771" s="178" t="s">
        <v>325</v>
      </c>
      <c r="I771" s="175" t="s">
        <v>231</v>
      </c>
      <c r="J771" s="179" t="s">
        <v>231</v>
      </c>
      <c r="K771" s="179"/>
      <c r="L771" s="176" t="s">
        <v>390</v>
      </c>
      <c r="M771" s="180">
        <f t="shared" si="48"/>
        <v>10776094.418808615</v>
      </c>
      <c r="N771" s="181">
        <v>0</v>
      </c>
      <c r="O771" s="181">
        <v>0</v>
      </c>
      <c r="P771" s="181">
        <v>0</v>
      </c>
      <c r="Q771" s="181">
        <v>0</v>
      </c>
      <c r="R771" s="181">
        <v>0</v>
      </c>
      <c r="S771" s="182">
        <f t="shared" si="46"/>
        <v>10776094.418808615</v>
      </c>
      <c r="T771" s="183"/>
    </row>
    <row r="772" spans="1:20" ht="11.25">
      <c r="A772" s="175" t="s">
        <v>276</v>
      </c>
      <c r="B772" s="175">
        <v>10</v>
      </c>
      <c r="C772" s="176" t="s">
        <v>469</v>
      </c>
      <c r="D772" s="176" t="s">
        <v>331</v>
      </c>
      <c r="E772" s="176" t="s">
        <v>350</v>
      </c>
      <c r="F772" s="176"/>
      <c r="G772" s="176" t="s">
        <v>324</v>
      </c>
      <c r="H772" s="178" t="s">
        <v>325</v>
      </c>
      <c r="I772" s="175" t="s">
        <v>231</v>
      </c>
      <c r="J772" s="179" t="s">
        <v>231</v>
      </c>
      <c r="K772" s="179"/>
      <c r="L772" s="176" t="s">
        <v>390</v>
      </c>
      <c r="M772" s="180">
        <f t="shared" si="48"/>
        <v>11207138.19556096</v>
      </c>
      <c r="N772" s="181">
        <v>0</v>
      </c>
      <c r="O772" s="181">
        <v>0</v>
      </c>
      <c r="P772" s="181">
        <v>0</v>
      </c>
      <c r="Q772" s="181">
        <v>0</v>
      </c>
      <c r="R772" s="181">
        <v>0</v>
      </c>
      <c r="S772" s="182">
        <f t="shared" si="46"/>
        <v>11207138.19556096</v>
      </c>
      <c r="T772" s="183"/>
    </row>
    <row r="773" spans="1:20" ht="11.25">
      <c r="A773" s="175" t="s">
        <v>277</v>
      </c>
      <c r="B773" s="175">
        <v>11</v>
      </c>
      <c r="C773" s="176" t="s">
        <v>469</v>
      </c>
      <c r="D773" s="176" t="s">
        <v>331</v>
      </c>
      <c r="E773" s="176" t="s">
        <v>350</v>
      </c>
      <c r="F773" s="176"/>
      <c r="G773" s="176" t="s">
        <v>324</v>
      </c>
      <c r="H773" s="178" t="s">
        <v>325</v>
      </c>
      <c r="I773" s="175" t="s">
        <v>231</v>
      </c>
      <c r="J773" s="179" t="s">
        <v>231</v>
      </c>
      <c r="K773" s="179"/>
      <c r="L773" s="176" t="s">
        <v>390</v>
      </c>
      <c r="M773" s="180">
        <f t="shared" si="48"/>
        <v>11655423.723383399</v>
      </c>
      <c r="N773" s="181">
        <v>0</v>
      </c>
      <c r="O773" s="181">
        <v>0</v>
      </c>
      <c r="P773" s="181">
        <v>0</v>
      </c>
      <c r="Q773" s="181">
        <v>0</v>
      </c>
      <c r="R773" s="181">
        <v>0</v>
      </c>
      <c r="S773" s="182">
        <f t="shared" si="46"/>
        <v>11655423.723383399</v>
      </c>
      <c r="T773" s="183"/>
    </row>
    <row r="774" spans="1:20" ht="11.25">
      <c r="A774" s="175" t="s">
        <v>278</v>
      </c>
      <c r="B774" s="175">
        <v>12</v>
      </c>
      <c r="C774" s="176" t="s">
        <v>469</v>
      </c>
      <c r="D774" s="176" t="s">
        <v>331</v>
      </c>
      <c r="E774" s="176" t="s">
        <v>350</v>
      </c>
      <c r="F774" s="176"/>
      <c r="G774" s="176" t="s">
        <v>324</v>
      </c>
      <c r="H774" s="178" t="s">
        <v>325</v>
      </c>
      <c r="I774" s="175" t="s">
        <v>231</v>
      </c>
      <c r="J774" s="179" t="s">
        <v>231</v>
      </c>
      <c r="K774" s="179"/>
      <c r="L774" s="176" t="s">
        <v>390</v>
      </c>
      <c r="M774" s="180">
        <f t="shared" si="48"/>
        <v>12121640.672318734</v>
      </c>
      <c r="N774" s="181">
        <v>0</v>
      </c>
      <c r="O774" s="181">
        <v>0</v>
      </c>
      <c r="P774" s="181">
        <v>0</v>
      </c>
      <c r="Q774" s="181">
        <v>0</v>
      </c>
      <c r="R774" s="181">
        <v>0</v>
      </c>
      <c r="S774" s="182">
        <f t="shared" si="46"/>
        <v>12121640.672318734</v>
      </c>
      <c r="T774" s="183"/>
    </row>
    <row r="775" spans="1:20" ht="11.25">
      <c r="A775" s="175" t="s">
        <v>279</v>
      </c>
      <c r="B775" s="175">
        <v>13</v>
      </c>
      <c r="C775" s="176" t="s">
        <v>469</v>
      </c>
      <c r="D775" s="176" t="s">
        <v>331</v>
      </c>
      <c r="E775" s="176" t="s">
        <v>350</v>
      </c>
      <c r="F775" s="176"/>
      <c r="G775" s="176" t="s">
        <v>324</v>
      </c>
      <c r="H775" s="178" t="s">
        <v>325</v>
      </c>
      <c r="I775" s="175" t="s">
        <v>231</v>
      </c>
      <c r="J775" s="179" t="s">
        <v>231</v>
      </c>
      <c r="K775" s="179"/>
      <c r="L775" s="176" t="s">
        <v>390</v>
      </c>
      <c r="M775" s="180">
        <f t="shared" si="48"/>
        <v>12606506.299211483</v>
      </c>
      <c r="N775" s="181">
        <v>0</v>
      </c>
      <c r="O775" s="181">
        <v>0</v>
      </c>
      <c r="P775" s="181">
        <v>0</v>
      </c>
      <c r="Q775" s="181">
        <v>0</v>
      </c>
      <c r="R775" s="181">
        <v>0</v>
      </c>
      <c r="S775" s="182">
        <f t="shared" si="46"/>
        <v>12606506.299211483</v>
      </c>
      <c r="T775" s="183"/>
    </row>
    <row r="776" spans="1:20" ht="11.25">
      <c r="A776" s="175" t="s">
        <v>280</v>
      </c>
      <c r="B776" s="175">
        <v>14</v>
      </c>
      <c r="C776" s="176" t="s">
        <v>469</v>
      </c>
      <c r="D776" s="176" t="s">
        <v>331</v>
      </c>
      <c r="E776" s="176" t="s">
        <v>350</v>
      </c>
      <c r="F776" s="176"/>
      <c r="G776" s="176" t="s">
        <v>324</v>
      </c>
      <c r="H776" s="178" t="s">
        <v>325</v>
      </c>
      <c r="I776" s="175" t="s">
        <v>231</v>
      </c>
      <c r="J776" s="179" t="s">
        <v>231</v>
      </c>
      <c r="K776" s="179"/>
      <c r="L776" s="176" t="s">
        <v>390</v>
      </c>
      <c r="M776" s="180">
        <f t="shared" si="48"/>
        <v>13110766.551179944</v>
      </c>
      <c r="N776" s="181">
        <v>0</v>
      </c>
      <c r="O776" s="181">
        <v>0</v>
      </c>
      <c r="P776" s="181">
        <v>0</v>
      </c>
      <c r="Q776" s="181">
        <v>0</v>
      </c>
      <c r="R776" s="181">
        <v>0</v>
      </c>
      <c r="S776" s="182">
        <f t="shared" si="46"/>
        <v>13110766.551179944</v>
      </c>
      <c r="T776" s="183"/>
    </row>
    <row r="777" spans="1:20" ht="11.25">
      <c r="A777" s="175" t="s">
        <v>281</v>
      </c>
      <c r="B777" s="175">
        <v>15</v>
      </c>
      <c r="C777" s="176" t="s">
        <v>469</v>
      </c>
      <c r="D777" s="176" t="s">
        <v>331</v>
      </c>
      <c r="E777" s="176" t="s">
        <v>350</v>
      </c>
      <c r="F777" s="176"/>
      <c r="G777" s="176" t="s">
        <v>324</v>
      </c>
      <c r="H777" s="178" t="s">
        <v>325</v>
      </c>
      <c r="I777" s="175" t="s">
        <v>231</v>
      </c>
      <c r="J777" s="179" t="s">
        <v>231</v>
      </c>
      <c r="K777" s="179"/>
      <c r="L777" s="176" t="s">
        <v>390</v>
      </c>
      <c r="M777" s="180">
        <f t="shared" si="48"/>
        <v>13635197.213227142</v>
      </c>
      <c r="N777" s="181">
        <v>0</v>
      </c>
      <c r="O777" s="181">
        <v>0</v>
      </c>
      <c r="P777" s="181">
        <v>0</v>
      </c>
      <c r="Q777" s="181">
        <v>0</v>
      </c>
      <c r="R777" s="181">
        <v>0</v>
      </c>
      <c r="S777" s="182">
        <f t="shared" si="46"/>
        <v>13635197.213227142</v>
      </c>
      <c r="T777" s="183"/>
    </row>
    <row r="778" spans="1:20" ht="11.25">
      <c r="A778" s="175" t="s">
        <v>282</v>
      </c>
      <c r="B778" s="175">
        <v>16</v>
      </c>
      <c r="C778" s="176" t="s">
        <v>469</v>
      </c>
      <c r="D778" s="176" t="s">
        <v>331</v>
      </c>
      <c r="E778" s="176" t="s">
        <v>350</v>
      </c>
      <c r="F778" s="176"/>
      <c r="G778" s="176" t="s">
        <v>324</v>
      </c>
      <c r="H778" s="178" t="s">
        <v>325</v>
      </c>
      <c r="I778" s="175" t="s">
        <v>231</v>
      </c>
      <c r="J778" s="179" t="s">
        <v>231</v>
      </c>
      <c r="K778" s="179"/>
      <c r="L778" s="176" t="s">
        <v>390</v>
      </c>
      <c r="M778" s="180">
        <f t="shared" si="48"/>
        <v>14180605.101756228</v>
      </c>
      <c r="N778" s="181">
        <v>0</v>
      </c>
      <c r="O778" s="181">
        <v>0</v>
      </c>
      <c r="P778" s="181">
        <v>0</v>
      </c>
      <c r="Q778" s="181">
        <v>0</v>
      </c>
      <c r="R778" s="181">
        <v>0</v>
      </c>
      <c r="S778" s="182">
        <f t="shared" si="46"/>
        <v>14180605.101756228</v>
      </c>
      <c r="T778" s="183"/>
    </row>
    <row r="779" spans="1:20" ht="11.25">
      <c r="A779" s="175" t="s">
        <v>283</v>
      </c>
      <c r="B779" s="175">
        <v>17</v>
      </c>
      <c r="C779" s="176" t="s">
        <v>469</v>
      </c>
      <c r="D779" s="176" t="s">
        <v>331</v>
      </c>
      <c r="E779" s="176" t="s">
        <v>350</v>
      </c>
      <c r="F779" s="176"/>
      <c r="G779" s="176" t="s">
        <v>324</v>
      </c>
      <c r="H779" s="178" t="s">
        <v>325</v>
      </c>
      <c r="I779" s="175" t="s">
        <v>231</v>
      </c>
      <c r="J779" s="179" t="s">
        <v>231</v>
      </c>
      <c r="K779" s="179"/>
      <c r="L779" s="176" t="s">
        <v>390</v>
      </c>
      <c r="M779" s="180">
        <f t="shared" si="48"/>
        <v>14747829.305826478</v>
      </c>
      <c r="N779" s="181">
        <v>0</v>
      </c>
      <c r="O779" s="181">
        <v>0</v>
      </c>
      <c r="P779" s="181">
        <v>0</v>
      </c>
      <c r="Q779" s="181">
        <v>0</v>
      </c>
      <c r="R779" s="181">
        <v>0</v>
      </c>
      <c r="S779" s="182">
        <f t="shared" si="46"/>
        <v>14747829.305826478</v>
      </c>
      <c r="T779" s="183"/>
    </row>
    <row r="780" spans="1:20" ht="11.25">
      <c r="A780" s="175" t="s">
        <v>284</v>
      </c>
      <c r="B780" s="175">
        <v>18</v>
      </c>
      <c r="C780" s="176" t="s">
        <v>469</v>
      </c>
      <c r="D780" s="176" t="s">
        <v>331</v>
      </c>
      <c r="E780" s="176" t="s">
        <v>350</v>
      </c>
      <c r="F780" s="176"/>
      <c r="G780" s="176" t="s">
        <v>324</v>
      </c>
      <c r="H780" s="178" t="s">
        <v>325</v>
      </c>
      <c r="I780" s="175" t="s">
        <v>231</v>
      </c>
      <c r="J780" s="179" t="s">
        <v>231</v>
      </c>
      <c r="K780" s="179"/>
      <c r="L780" s="176" t="s">
        <v>390</v>
      </c>
      <c r="M780" s="180">
        <f t="shared" si="48"/>
        <v>15337742.478059538</v>
      </c>
      <c r="N780" s="181">
        <v>0</v>
      </c>
      <c r="O780" s="181">
        <v>0</v>
      </c>
      <c r="P780" s="181">
        <v>0</v>
      </c>
      <c r="Q780" s="181">
        <v>0</v>
      </c>
      <c r="R780" s="181">
        <v>0</v>
      </c>
      <c r="S780" s="182">
        <f t="shared" si="46"/>
        <v>15337742.478059538</v>
      </c>
      <c r="T780" s="183"/>
    </row>
    <row r="781" spans="1:20" ht="11.25">
      <c r="A781" s="175" t="s">
        <v>285</v>
      </c>
      <c r="B781" s="175">
        <v>19</v>
      </c>
      <c r="C781" s="176" t="s">
        <v>469</v>
      </c>
      <c r="D781" s="176" t="s">
        <v>331</v>
      </c>
      <c r="E781" s="176" t="s">
        <v>350</v>
      </c>
      <c r="F781" s="176"/>
      <c r="G781" s="176" t="s">
        <v>324</v>
      </c>
      <c r="H781" s="178" t="s">
        <v>325</v>
      </c>
      <c r="I781" s="175" t="s">
        <v>231</v>
      </c>
      <c r="J781" s="179" t="s">
        <v>231</v>
      </c>
      <c r="K781" s="179"/>
      <c r="L781" s="176" t="s">
        <v>390</v>
      </c>
      <c r="M781" s="180">
        <f t="shared" si="48"/>
        <v>15951252.17718192</v>
      </c>
      <c r="N781" s="181">
        <v>0</v>
      </c>
      <c r="O781" s="181">
        <v>0</v>
      </c>
      <c r="P781" s="181">
        <v>0</v>
      </c>
      <c r="Q781" s="181">
        <v>0</v>
      </c>
      <c r="R781" s="181">
        <v>0</v>
      </c>
      <c r="S781" s="182">
        <f t="shared" si="46"/>
        <v>15951252.17718192</v>
      </c>
      <c r="T781" s="183"/>
    </row>
    <row r="782" spans="1:20" ht="11.25">
      <c r="A782" s="175" t="s">
        <v>303</v>
      </c>
      <c r="B782" s="175">
        <v>20</v>
      </c>
      <c r="C782" s="176" t="s">
        <v>469</v>
      </c>
      <c r="D782" s="176" t="s">
        <v>331</v>
      </c>
      <c r="E782" s="176" t="s">
        <v>350</v>
      </c>
      <c r="F782" s="176"/>
      <c r="G782" s="176" t="s">
        <v>324</v>
      </c>
      <c r="H782" s="178" t="s">
        <v>325</v>
      </c>
      <c r="I782" s="175" t="s">
        <v>231</v>
      </c>
      <c r="J782" s="179" t="s">
        <v>231</v>
      </c>
      <c r="K782" s="179"/>
      <c r="L782" s="176" t="s">
        <v>390</v>
      </c>
      <c r="M782" s="180">
        <f t="shared" si="48"/>
        <v>16589302.264269197</v>
      </c>
      <c r="N782" s="181">
        <v>0</v>
      </c>
      <c r="O782" s="181">
        <v>0</v>
      </c>
      <c r="P782" s="181">
        <v>0</v>
      </c>
      <c r="Q782" s="181">
        <v>0</v>
      </c>
      <c r="R782" s="181">
        <v>0</v>
      </c>
      <c r="S782" s="182">
        <f t="shared" si="46"/>
        <v>16589302.264269197</v>
      </c>
      <c r="T782" s="183"/>
    </row>
    <row r="783" spans="1:20" ht="11.25">
      <c r="A783" s="175" t="s">
        <v>265</v>
      </c>
      <c r="B783" s="175">
        <v>0</v>
      </c>
      <c r="C783" s="176" t="s">
        <v>469</v>
      </c>
      <c r="D783" s="176" t="s">
        <v>377</v>
      </c>
      <c r="E783" s="176" t="s">
        <v>338</v>
      </c>
      <c r="F783" s="176"/>
      <c r="G783" s="176" t="s">
        <v>360</v>
      </c>
      <c r="H783" s="178" t="s">
        <v>325</v>
      </c>
      <c r="I783" s="175" t="s">
        <v>231</v>
      </c>
      <c r="J783" s="179" t="s">
        <v>326</v>
      </c>
      <c r="K783" s="179"/>
      <c r="L783" s="176" t="s">
        <v>391</v>
      </c>
      <c r="M783" s="180">
        <v>21632</v>
      </c>
      <c r="N783" s="181">
        <v>0</v>
      </c>
      <c r="O783" s="181">
        <v>0</v>
      </c>
      <c r="P783" s="181">
        <v>0</v>
      </c>
      <c r="Q783" s="181">
        <v>0</v>
      </c>
      <c r="R783" s="181">
        <v>0</v>
      </c>
      <c r="S783" s="182">
        <f t="shared" si="46"/>
        <v>21632</v>
      </c>
      <c r="T783" s="183"/>
    </row>
    <row r="784" spans="1:20" ht="11.25">
      <c r="A784" s="175" t="s">
        <v>267</v>
      </c>
      <c r="B784" s="175">
        <v>1</v>
      </c>
      <c r="C784" s="176" t="s">
        <v>469</v>
      </c>
      <c r="D784" s="176" t="s">
        <v>377</v>
      </c>
      <c r="E784" s="176" t="s">
        <v>338</v>
      </c>
      <c r="F784" s="176"/>
      <c r="G784" s="176" t="s">
        <v>360</v>
      </c>
      <c r="H784" s="178" t="s">
        <v>325</v>
      </c>
      <c r="I784" s="175" t="s">
        <v>231</v>
      </c>
      <c r="J784" s="179" t="s">
        <v>352</v>
      </c>
      <c r="K784" s="179"/>
      <c r="L784" s="176" t="s">
        <v>391</v>
      </c>
      <c r="M784" s="180">
        <f>IF(J784="Y",M783*(1+$F$4),IF(J784="I",M783*(1+$E$4),M783))</f>
        <v>22172.8</v>
      </c>
      <c r="N784" s="181">
        <v>0</v>
      </c>
      <c r="O784" s="181">
        <v>0</v>
      </c>
      <c r="P784" s="181">
        <v>0</v>
      </c>
      <c r="Q784" s="181">
        <v>0</v>
      </c>
      <c r="R784" s="181">
        <v>0</v>
      </c>
      <c r="S784" s="182">
        <f t="shared" si="46"/>
        <v>22172.8</v>
      </c>
      <c r="T784" s="183"/>
    </row>
    <row r="785" spans="1:20" ht="11.25">
      <c r="A785" s="175" t="s">
        <v>268</v>
      </c>
      <c r="B785" s="175">
        <v>2</v>
      </c>
      <c r="C785" s="176" t="s">
        <v>469</v>
      </c>
      <c r="D785" s="176" t="s">
        <v>377</v>
      </c>
      <c r="E785" s="176" t="s">
        <v>338</v>
      </c>
      <c r="F785" s="176"/>
      <c r="G785" s="176" t="s">
        <v>360</v>
      </c>
      <c r="H785" s="178" t="s">
        <v>325</v>
      </c>
      <c r="I785" s="175" t="s">
        <v>231</v>
      </c>
      <c r="J785" s="179" t="s">
        <v>352</v>
      </c>
      <c r="K785" s="179"/>
      <c r="L785" s="176" t="s">
        <v>391</v>
      </c>
      <c r="M785" s="180">
        <f aca="true" t="shared" si="49" ref="M785:M803">IF(J785="Y",M784*(1+$C$4),IF(J785="I",M784*(1+$E$4),M784))</f>
        <v>22727.12</v>
      </c>
      <c r="N785" s="181">
        <v>0</v>
      </c>
      <c r="O785" s="181">
        <v>0</v>
      </c>
      <c r="P785" s="181">
        <v>0</v>
      </c>
      <c r="Q785" s="181">
        <v>0</v>
      </c>
      <c r="R785" s="181">
        <v>0</v>
      </c>
      <c r="S785" s="182">
        <f t="shared" si="46"/>
        <v>22727.12</v>
      </c>
      <c r="T785" s="183"/>
    </row>
    <row r="786" spans="1:20" ht="11.25">
      <c r="A786" s="175" t="s">
        <v>269</v>
      </c>
      <c r="B786" s="175">
        <v>3</v>
      </c>
      <c r="C786" s="176" t="s">
        <v>469</v>
      </c>
      <c r="D786" s="176" t="s">
        <v>377</v>
      </c>
      <c r="E786" s="176" t="s">
        <v>338</v>
      </c>
      <c r="F786" s="176"/>
      <c r="G786" s="176" t="s">
        <v>360</v>
      </c>
      <c r="H786" s="178" t="s">
        <v>325</v>
      </c>
      <c r="I786" s="175" t="s">
        <v>231</v>
      </c>
      <c r="J786" s="179" t="s">
        <v>352</v>
      </c>
      <c r="K786" s="179"/>
      <c r="L786" s="176" t="s">
        <v>391</v>
      </c>
      <c r="M786" s="180">
        <f t="shared" si="49"/>
        <v>23295.297999999995</v>
      </c>
      <c r="N786" s="181">
        <v>0</v>
      </c>
      <c r="O786" s="181">
        <v>0</v>
      </c>
      <c r="P786" s="181">
        <v>0</v>
      </c>
      <c r="Q786" s="181">
        <v>0</v>
      </c>
      <c r="R786" s="181">
        <v>0</v>
      </c>
      <c r="S786" s="182">
        <f t="shared" si="46"/>
        <v>23295.297999999995</v>
      </c>
      <c r="T786" s="183"/>
    </row>
    <row r="787" spans="1:20" ht="11.25">
      <c r="A787" s="175" t="s">
        <v>270</v>
      </c>
      <c r="B787" s="175">
        <v>4</v>
      </c>
      <c r="C787" s="176" t="s">
        <v>469</v>
      </c>
      <c r="D787" s="176" t="s">
        <v>377</v>
      </c>
      <c r="E787" s="176" t="s">
        <v>338</v>
      </c>
      <c r="F787" s="176"/>
      <c r="G787" s="176" t="s">
        <v>360</v>
      </c>
      <c r="H787" s="178" t="s">
        <v>325</v>
      </c>
      <c r="I787" s="175" t="s">
        <v>231</v>
      </c>
      <c r="J787" s="179" t="s">
        <v>352</v>
      </c>
      <c r="K787" s="179"/>
      <c r="L787" s="176" t="s">
        <v>391</v>
      </c>
      <c r="M787" s="180">
        <f t="shared" si="49"/>
        <v>23877.680449999993</v>
      </c>
      <c r="N787" s="181">
        <v>0</v>
      </c>
      <c r="O787" s="181">
        <v>0</v>
      </c>
      <c r="P787" s="181">
        <v>0</v>
      </c>
      <c r="Q787" s="181">
        <v>0</v>
      </c>
      <c r="R787" s="181">
        <v>0</v>
      </c>
      <c r="S787" s="182">
        <f t="shared" si="46"/>
        <v>23877.680449999993</v>
      </c>
      <c r="T787" s="183"/>
    </row>
    <row r="788" spans="1:20" ht="11.25">
      <c r="A788" s="175" t="s">
        <v>271</v>
      </c>
      <c r="B788" s="175">
        <v>5</v>
      </c>
      <c r="C788" s="176" t="s">
        <v>469</v>
      </c>
      <c r="D788" s="176" t="s">
        <v>377</v>
      </c>
      <c r="E788" s="176" t="s">
        <v>338</v>
      </c>
      <c r="F788" s="176"/>
      <c r="G788" s="176" t="s">
        <v>360</v>
      </c>
      <c r="H788" s="178" t="s">
        <v>325</v>
      </c>
      <c r="I788" s="175" t="s">
        <v>231</v>
      </c>
      <c r="J788" s="179" t="s">
        <v>352</v>
      </c>
      <c r="K788" s="179"/>
      <c r="L788" s="176" t="s">
        <v>391</v>
      </c>
      <c r="M788" s="180">
        <f t="shared" si="49"/>
        <v>24474.62246124999</v>
      </c>
      <c r="N788" s="181">
        <v>0</v>
      </c>
      <c r="O788" s="181">
        <v>0</v>
      </c>
      <c r="P788" s="181">
        <v>0</v>
      </c>
      <c r="Q788" s="181">
        <v>0</v>
      </c>
      <c r="R788" s="181">
        <v>0</v>
      </c>
      <c r="S788" s="182">
        <f t="shared" si="46"/>
        <v>24474.62246124999</v>
      </c>
      <c r="T788" s="183"/>
    </row>
    <row r="789" spans="1:20" ht="11.25">
      <c r="A789" s="175" t="s">
        <v>272</v>
      </c>
      <c r="B789" s="175">
        <v>6</v>
      </c>
      <c r="C789" s="176" t="s">
        <v>469</v>
      </c>
      <c r="D789" s="176" t="s">
        <v>377</v>
      </c>
      <c r="E789" s="176" t="s">
        <v>338</v>
      </c>
      <c r="F789" s="176"/>
      <c r="G789" s="176" t="s">
        <v>360</v>
      </c>
      <c r="H789" s="178" t="s">
        <v>325</v>
      </c>
      <c r="I789" s="175" t="s">
        <v>231</v>
      </c>
      <c r="J789" s="179" t="s">
        <v>352</v>
      </c>
      <c r="K789" s="179"/>
      <c r="L789" s="176" t="s">
        <v>391</v>
      </c>
      <c r="M789" s="180">
        <f t="shared" si="49"/>
        <v>25086.48802278124</v>
      </c>
      <c r="N789" s="181">
        <v>0</v>
      </c>
      <c r="O789" s="181">
        <v>0</v>
      </c>
      <c r="P789" s="181">
        <v>0</v>
      </c>
      <c r="Q789" s="181">
        <v>0</v>
      </c>
      <c r="R789" s="181">
        <v>0</v>
      </c>
      <c r="S789" s="182">
        <f t="shared" si="46"/>
        <v>25086.48802278124</v>
      </c>
      <c r="T789" s="183"/>
    </row>
    <row r="790" spans="1:20" ht="11.25">
      <c r="A790" s="175" t="s">
        <v>273</v>
      </c>
      <c r="B790" s="175">
        <v>7</v>
      </c>
      <c r="C790" s="176" t="s">
        <v>469</v>
      </c>
      <c r="D790" s="176" t="s">
        <v>377</v>
      </c>
      <c r="E790" s="176" t="s">
        <v>338</v>
      </c>
      <c r="F790" s="176"/>
      <c r="G790" s="176" t="s">
        <v>360</v>
      </c>
      <c r="H790" s="178" t="s">
        <v>325</v>
      </c>
      <c r="I790" s="175" t="s">
        <v>231</v>
      </c>
      <c r="J790" s="179" t="s">
        <v>352</v>
      </c>
      <c r="K790" s="179"/>
      <c r="L790" s="176" t="s">
        <v>391</v>
      </c>
      <c r="M790" s="180">
        <f t="shared" si="49"/>
        <v>25713.650223350767</v>
      </c>
      <c r="N790" s="181">
        <v>0</v>
      </c>
      <c r="O790" s="181">
        <v>0</v>
      </c>
      <c r="P790" s="181">
        <v>0</v>
      </c>
      <c r="Q790" s="181">
        <v>0</v>
      </c>
      <c r="R790" s="181">
        <v>0</v>
      </c>
      <c r="S790" s="182">
        <f t="shared" si="46"/>
        <v>25713.650223350767</v>
      </c>
      <c r="T790" s="183"/>
    </row>
    <row r="791" spans="1:20" ht="11.25">
      <c r="A791" s="175" t="s">
        <v>274</v>
      </c>
      <c r="B791" s="175">
        <v>8</v>
      </c>
      <c r="C791" s="176" t="s">
        <v>469</v>
      </c>
      <c r="D791" s="176" t="s">
        <v>377</v>
      </c>
      <c r="E791" s="176" t="s">
        <v>338</v>
      </c>
      <c r="F791" s="176"/>
      <c r="G791" s="176" t="s">
        <v>360</v>
      </c>
      <c r="H791" s="178" t="s">
        <v>325</v>
      </c>
      <c r="I791" s="175" t="s">
        <v>231</v>
      </c>
      <c r="J791" s="179" t="s">
        <v>352</v>
      </c>
      <c r="K791" s="179"/>
      <c r="L791" s="176" t="s">
        <v>391</v>
      </c>
      <c r="M791" s="180">
        <f t="shared" si="49"/>
        <v>26356.491478934535</v>
      </c>
      <c r="N791" s="181">
        <v>0</v>
      </c>
      <c r="O791" s="181">
        <v>0</v>
      </c>
      <c r="P791" s="181">
        <v>0</v>
      </c>
      <c r="Q791" s="181">
        <v>0</v>
      </c>
      <c r="R791" s="181">
        <v>0</v>
      </c>
      <c r="S791" s="182">
        <f t="shared" si="46"/>
        <v>26356.491478934535</v>
      </c>
      <c r="T791" s="183"/>
    </row>
    <row r="792" spans="1:20" ht="11.25">
      <c r="A792" s="175" t="s">
        <v>275</v>
      </c>
      <c r="B792" s="175">
        <v>9</v>
      </c>
      <c r="C792" s="176" t="s">
        <v>469</v>
      </c>
      <c r="D792" s="176" t="s">
        <v>377</v>
      </c>
      <c r="E792" s="176" t="s">
        <v>338</v>
      </c>
      <c r="F792" s="176"/>
      <c r="G792" s="176" t="s">
        <v>360</v>
      </c>
      <c r="H792" s="178" t="s">
        <v>325</v>
      </c>
      <c r="I792" s="175" t="s">
        <v>231</v>
      </c>
      <c r="J792" s="179" t="s">
        <v>352</v>
      </c>
      <c r="K792" s="179"/>
      <c r="L792" s="176" t="s">
        <v>391</v>
      </c>
      <c r="M792" s="180">
        <f t="shared" si="49"/>
        <v>27015.403765907897</v>
      </c>
      <c r="N792" s="181">
        <v>0</v>
      </c>
      <c r="O792" s="181">
        <v>0</v>
      </c>
      <c r="P792" s="181">
        <v>0</v>
      </c>
      <c r="Q792" s="181">
        <v>0</v>
      </c>
      <c r="R792" s="181">
        <v>0</v>
      </c>
      <c r="S792" s="182">
        <f t="shared" si="46"/>
        <v>27015.403765907897</v>
      </c>
      <c r="T792" s="183"/>
    </row>
    <row r="793" spans="1:20" ht="11.25">
      <c r="A793" s="175" t="s">
        <v>276</v>
      </c>
      <c r="B793" s="175">
        <v>10</v>
      </c>
      <c r="C793" s="176" t="s">
        <v>469</v>
      </c>
      <c r="D793" s="176" t="s">
        <v>377</v>
      </c>
      <c r="E793" s="176" t="s">
        <v>338</v>
      </c>
      <c r="F793" s="176"/>
      <c r="G793" s="176" t="s">
        <v>360</v>
      </c>
      <c r="H793" s="178" t="s">
        <v>325</v>
      </c>
      <c r="I793" s="175" t="s">
        <v>231</v>
      </c>
      <c r="J793" s="179" t="s">
        <v>352</v>
      </c>
      <c r="K793" s="179"/>
      <c r="L793" s="176" t="s">
        <v>391</v>
      </c>
      <c r="M793" s="180">
        <f t="shared" si="49"/>
        <v>27690.788860055593</v>
      </c>
      <c r="N793" s="181">
        <v>0</v>
      </c>
      <c r="O793" s="181">
        <v>0</v>
      </c>
      <c r="P793" s="181">
        <v>0</v>
      </c>
      <c r="Q793" s="181">
        <v>0</v>
      </c>
      <c r="R793" s="181">
        <v>0</v>
      </c>
      <c r="S793" s="182">
        <f t="shared" si="46"/>
        <v>27690.788860055593</v>
      </c>
      <c r="T793" s="183"/>
    </row>
    <row r="794" spans="1:20" ht="11.25">
      <c r="A794" s="175" t="s">
        <v>277</v>
      </c>
      <c r="B794" s="175">
        <v>11</v>
      </c>
      <c r="C794" s="176" t="s">
        <v>469</v>
      </c>
      <c r="D794" s="176" t="s">
        <v>377</v>
      </c>
      <c r="E794" s="176" t="s">
        <v>338</v>
      </c>
      <c r="F794" s="176"/>
      <c r="G794" s="176" t="s">
        <v>360</v>
      </c>
      <c r="H794" s="178" t="s">
        <v>325</v>
      </c>
      <c r="I794" s="175" t="s">
        <v>231</v>
      </c>
      <c r="J794" s="179" t="s">
        <v>352</v>
      </c>
      <c r="K794" s="179"/>
      <c r="L794" s="176" t="s">
        <v>391</v>
      </c>
      <c r="M794" s="180">
        <f t="shared" si="49"/>
        <v>28383.05858155698</v>
      </c>
      <c r="N794" s="181">
        <v>0</v>
      </c>
      <c r="O794" s="181">
        <v>0</v>
      </c>
      <c r="P794" s="181">
        <v>0</v>
      </c>
      <c r="Q794" s="181">
        <v>0</v>
      </c>
      <c r="R794" s="181">
        <v>0</v>
      </c>
      <c r="S794" s="182">
        <f t="shared" si="46"/>
        <v>28383.05858155698</v>
      </c>
      <c r="T794" s="183"/>
    </row>
    <row r="795" spans="1:20" ht="11.25">
      <c r="A795" s="175" t="s">
        <v>278</v>
      </c>
      <c r="B795" s="175">
        <v>12</v>
      </c>
      <c r="C795" s="176" t="s">
        <v>469</v>
      </c>
      <c r="D795" s="176" t="s">
        <v>377</v>
      </c>
      <c r="E795" s="176" t="s">
        <v>338</v>
      </c>
      <c r="F795" s="176"/>
      <c r="G795" s="176" t="s">
        <v>360</v>
      </c>
      <c r="H795" s="178" t="s">
        <v>325</v>
      </c>
      <c r="I795" s="175" t="s">
        <v>231</v>
      </c>
      <c r="J795" s="179" t="s">
        <v>352</v>
      </c>
      <c r="K795" s="179"/>
      <c r="L795" s="176" t="s">
        <v>391</v>
      </c>
      <c r="M795" s="180">
        <f t="shared" si="49"/>
        <v>29092.6350460959</v>
      </c>
      <c r="N795" s="181">
        <v>0</v>
      </c>
      <c r="O795" s="181">
        <v>0</v>
      </c>
      <c r="P795" s="181">
        <v>0</v>
      </c>
      <c r="Q795" s="181">
        <v>0</v>
      </c>
      <c r="R795" s="181">
        <v>0</v>
      </c>
      <c r="S795" s="182">
        <f aca="true" t="shared" si="50" ref="S795:S858">M795-SUM(N795:R795)</f>
        <v>29092.6350460959</v>
      </c>
      <c r="T795" s="183"/>
    </row>
    <row r="796" spans="1:20" ht="11.25">
      <c r="A796" s="175" t="s">
        <v>279</v>
      </c>
      <c r="B796" s="175">
        <v>13</v>
      </c>
      <c r="C796" s="176" t="s">
        <v>469</v>
      </c>
      <c r="D796" s="176" t="s">
        <v>377</v>
      </c>
      <c r="E796" s="176" t="s">
        <v>338</v>
      </c>
      <c r="F796" s="176"/>
      <c r="G796" s="176" t="s">
        <v>360</v>
      </c>
      <c r="H796" s="178" t="s">
        <v>325</v>
      </c>
      <c r="I796" s="175" t="s">
        <v>231</v>
      </c>
      <c r="J796" s="179" t="s">
        <v>352</v>
      </c>
      <c r="K796" s="179"/>
      <c r="L796" s="176" t="s">
        <v>391</v>
      </c>
      <c r="M796" s="180">
        <f t="shared" si="49"/>
        <v>29819.950922248296</v>
      </c>
      <c r="N796" s="181">
        <v>0</v>
      </c>
      <c r="O796" s="181">
        <v>0</v>
      </c>
      <c r="P796" s="181">
        <v>0</v>
      </c>
      <c r="Q796" s="181">
        <v>0</v>
      </c>
      <c r="R796" s="181">
        <v>0</v>
      </c>
      <c r="S796" s="182">
        <f t="shared" si="50"/>
        <v>29819.950922248296</v>
      </c>
      <c r="T796" s="183"/>
    </row>
    <row r="797" spans="1:20" ht="11.25">
      <c r="A797" s="175" t="s">
        <v>280</v>
      </c>
      <c r="B797" s="175">
        <v>14</v>
      </c>
      <c r="C797" s="176" t="s">
        <v>469</v>
      </c>
      <c r="D797" s="176" t="s">
        <v>377</v>
      </c>
      <c r="E797" s="176" t="s">
        <v>338</v>
      </c>
      <c r="F797" s="176"/>
      <c r="G797" s="176" t="s">
        <v>360</v>
      </c>
      <c r="H797" s="178" t="s">
        <v>325</v>
      </c>
      <c r="I797" s="175" t="s">
        <v>231</v>
      </c>
      <c r="J797" s="179" t="s">
        <v>352</v>
      </c>
      <c r="K797" s="179"/>
      <c r="L797" s="176" t="s">
        <v>391</v>
      </c>
      <c r="M797" s="180">
        <f t="shared" si="49"/>
        <v>30565.4496953045</v>
      </c>
      <c r="N797" s="181">
        <v>0</v>
      </c>
      <c r="O797" s="181">
        <v>0</v>
      </c>
      <c r="P797" s="181">
        <v>0</v>
      </c>
      <c r="Q797" s="181">
        <v>0</v>
      </c>
      <c r="R797" s="181">
        <v>0</v>
      </c>
      <c r="S797" s="182">
        <f t="shared" si="50"/>
        <v>30565.4496953045</v>
      </c>
      <c r="T797" s="183"/>
    </row>
    <row r="798" spans="1:20" ht="11.25">
      <c r="A798" s="175" t="s">
        <v>281</v>
      </c>
      <c r="B798" s="175">
        <v>15</v>
      </c>
      <c r="C798" s="176" t="s">
        <v>469</v>
      </c>
      <c r="D798" s="176" t="s">
        <v>377</v>
      </c>
      <c r="E798" s="176" t="s">
        <v>338</v>
      </c>
      <c r="F798" s="176"/>
      <c r="G798" s="176" t="s">
        <v>360</v>
      </c>
      <c r="H798" s="178" t="s">
        <v>325</v>
      </c>
      <c r="I798" s="175" t="s">
        <v>231</v>
      </c>
      <c r="J798" s="179" t="s">
        <v>352</v>
      </c>
      <c r="K798" s="179"/>
      <c r="L798" s="176" t="s">
        <v>391</v>
      </c>
      <c r="M798" s="180">
        <f t="shared" si="49"/>
        <v>31329.585937687112</v>
      </c>
      <c r="N798" s="181">
        <v>0</v>
      </c>
      <c r="O798" s="181">
        <v>0</v>
      </c>
      <c r="P798" s="181">
        <v>0</v>
      </c>
      <c r="Q798" s="181">
        <v>0</v>
      </c>
      <c r="R798" s="181">
        <v>0</v>
      </c>
      <c r="S798" s="182">
        <f t="shared" si="50"/>
        <v>31329.585937687112</v>
      </c>
      <c r="T798" s="183"/>
    </row>
    <row r="799" spans="1:20" ht="11.25">
      <c r="A799" s="175" t="s">
        <v>282</v>
      </c>
      <c r="B799" s="175">
        <v>16</v>
      </c>
      <c r="C799" s="176" t="s">
        <v>469</v>
      </c>
      <c r="D799" s="176" t="s">
        <v>377</v>
      </c>
      <c r="E799" s="176" t="s">
        <v>338</v>
      </c>
      <c r="F799" s="176"/>
      <c r="G799" s="176" t="s">
        <v>360</v>
      </c>
      <c r="H799" s="178" t="s">
        <v>325</v>
      </c>
      <c r="I799" s="175" t="s">
        <v>231</v>
      </c>
      <c r="J799" s="179" t="s">
        <v>352</v>
      </c>
      <c r="K799" s="179"/>
      <c r="L799" s="176" t="s">
        <v>391</v>
      </c>
      <c r="M799" s="180">
        <f t="shared" si="49"/>
        <v>32112.825586129286</v>
      </c>
      <c r="N799" s="181">
        <v>0</v>
      </c>
      <c r="O799" s="181">
        <v>0</v>
      </c>
      <c r="P799" s="181">
        <v>0</v>
      </c>
      <c r="Q799" s="181">
        <v>0</v>
      </c>
      <c r="R799" s="181">
        <v>0</v>
      </c>
      <c r="S799" s="182">
        <f t="shared" si="50"/>
        <v>32112.825586129286</v>
      </c>
      <c r="T799" s="183"/>
    </row>
    <row r="800" spans="1:20" ht="11.25">
      <c r="A800" s="175" t="s">
        <v>283</v>
      </c>
      <c r="B800" s="175">
        <v>17</v>
      </c>
      <c r="C800" s="176" t="s">
        <v>469</v>
      </c>
      <c r="D800" s="176" t="s">
        <v>377</v>
      </c>
      <c r="E800" s="176" t="s">
        <v>338</v>
      </c>
      <c r="F800" s="176"/>
      <c r="G800" s="176" t="s">
        <v>360</v>
      </c>
      <c r="H800" s="178" t="s">
        <v>325</v>
      </c>
      <c r="I800" s="175" t="s">
        <v>231</v>
      </c>
      <c r="J800" s="179" t="s">
        <v>352</v>
      </c>
      <c r="K800" s="179"/>
      <c r="L800" s="176" t="s">
        <v>391</v>
      </c>
      <c r="M800" s="180">
        <f t="shared" si="49"/>
        <v>32915.64622578251</v>
      </c>
      <c r="N800" s="181">
        <v>0</v>
      </c>
      <c r="O800" s="181">
        <v>0</v>
      </c>
      <c r="P800" s="181">
        <v>0</v>
      </c>
      <c r="Q800" s="181">
        <v>0</v>
      </c>
      <c r="R800" s="181">
        <v>0</v>
      </c>
      <c r="S800" s="182">
        <f t="shared" si="50"/>
        <v>32915.64622578251</v>
      </c>
      <c r="T800" s="183"/>
    </row>
    <row r="801" spans="1:20" ht="11.25">
      <c r="A801" s="175" t="s">
        <v>284</v>
      </c>
      <c r="B801" s="175">
        <v>18</v>
      </c>
      <c r="C801" s="176" t="s">
        <v>469</v>
      </c>
      <c r="D801" s="176" t="s">
        <v>377</v>
      </c>
      <c r="E801" s="176" t="s">
        <v>338</v>
      </c>
      <c r="F801" s="176"/>
      <c r="G801" s="176" t="s">
        <v>360</v>
      </c>
      <c r="H801" s="178" t="s">
        <v>325</v>
      </c>
      <c r="I801" s="175" t="s">
        <v>231</v>
      </c>
      <c r="J801" s="179" t="s">
        <v>352</v>
      </c>
      <c r="K801" s="179"/>
      <c r="L801" s="176" t="s">
        <v>391</v>
      </c>
      <c r="M801" s="180">
        <f t="shared" si="49"/>
        <v>33738.53738142707</v>
      </c>
      <c r="N801" s="181">
        <v>0</v>
      </c>
      <c r="O801" s="181">
        <v>0</v>
      </c>
      <c r="P801" s="181">
        <v>0</v>
      </c>
      <c r="Q801" s="181">
        <v>0</v>
      </c>
      <c r="R801" s="181">
        <v>0</v>
      </c>
      <c r="S801" s="182">
        <f t="shared" si="50"/>
        <v>33738.53738142707</v>
      </c>
      <c r="T801" s="183"/>
    </row>
    <row r="802" spans="1:20" ht="11.25">
      <c r="A802" s="175" t="s">
        <v>285</v>
      </c>
      <c r="B802" s="175">
        <v>19</v>
      </c>
      <c r="C802" s="176" t="s">
        <v>469</v>
      </c>
      <c r="D802" s="176" t="s">
        <v>377</v>
      </c>
      <c r="E802" s="176" t="s">
        <v>338</v>
      </c>
      <c r="F802" s="176"/>
      <c r="G802" s="176" t="s">
        <v>360</v>
      </c>
      <c r="H802" s="178" t="s">
        <v>325</v>
      </c>
      <c r="I802" s="175" t="s">
        <v>231</v>
      </c>
      <c r="J802" s="179" t="s">
        <v>352</v>
      </c>
      <c r="K802" s="179"/>
      <c r="L802" s="176" t="s">
        <v>391</v>
      </c>
      <c r="M802" s="180">
        <f t="shared" si="49"/>
        <v>34582.00081596275</v>
      </c>
      <c r="N802" s="181">
        <v>0</v>
      </c>
      <c r="O802" s="181">
        <v>0</v>
      </c>
      <c r="P802" s="181">
        <v>0</v>
      </c>
      <c r="Q802" s="181">
        <v>0</v>
      </c>
      <c r="R802" s="181">
        <v>0</v>
      </c>
      <c r="S802" s="182">
        <f t="shared" si="50"/>
        <v>34582.00081596275</v>
      </c>
      <c r="T802" s="183"/>
    </row>
    <row r="803" spans="1:20" ht="11.25">
      <c r="A803" s="175" t="s">
        <v>303</v>
      </c>
      <c r="B803" s="175">
        <v>20</v>
      </c>
      <c r="C803" s="176" t="s">
        <v>469</v>
      </c>
      <c r="D803" s="176" t="s">
        <v>377</v>
      </c>
      <c r="E803" s="176" t="s">
        <v>338</v>
      </c>
      <c r="F803" s="176"/>
      <c r="G803" s="176" t="s">
        <v>360</v>
      </c>
      <c r="H803" s="178" t="s">
        <v>325</v>
      </c>
      <c r="I803" s="175" t="s">
        <v>231</v>
      </c>
      <c r="J803" s="179" t="s">
        <v>352</v>
      </c>
      <c r="K803" s="179"/>
      <c r="L803" s="176" t="s">
        <v>391</v>
      </c>
      <c r="M803" s="180">
        <f t="shared" si="49"/>
        <v>35446.550836361814</v>
      </c>
      <c r="N803" s="181">
        <v>0</v>
      </c>
      <c r="O803" s="181">
        <v>0</v>
      </c>
      <c r="P803" s="181">
        <v>0</v>
      </c>
      <c r="Q803" s="181">
        <v>0</v>
      </c>
      <c r="R803" s="181">
        <v>0</v>
      </c>
      <c r="S803" s="182">
        <f t="shared" si="50"/>
        <v>35446.550836361814</v>
      </c>
      <c r="T803" s="183"/>
    </row>
    <row r="804" spans="1:20" ht="11.25">
      <c r="A804" s="175" t="s">
        <v>265</v>
      </c>
      <c r="B804" s="175">
        <v>0</v>
      </c>
      <c r="C804" s="176" t="s">
        <v>469</v>
      </c>
      <c r="D804" s="176" t="s">
        <v>347</v>
      </c>
      <c r="E804" s="176" t="s">
        <v>338</v>
      </c>
      <c r="F804" s="176"/>
      <c r="G804" s="176" t="s">
        <v>324</v>
      </c>
      <c r="H804" s="178" t="s">
        <v>325</v>
      </c>
      <c r="I804" s="175" t="s">
        <v>231</v>
      </c>
      <c r="J804" s="179" t="s">
        <v>326</v>
      </c>
      <c r="K804" s="179"/>
      <c r="L804" s="176" t="s">
        <v>392</v>
      </c>
      <c r="M804" s="180">
        <v>162240</v>
      </c>
      <c r="N804" s="181">
        <v>0</v>
      </c>
      <c r="O804" s="181">
        <v>0</v>
      </c>
      <c r="P804" s="181">
        <v>0</v>
      </c>
      <c r="Q804" s="181">
        <v>0</v>
      </c>
      <c r="R804" s="181">
        <v>0</v>
      </c>
      <c r="S804" s="182">
        <f t="shared" si="50"/>
        <v>162240</v>
      </c>
      <c r="T804" s="183"/>
    </row>
    <row r="805" spans="1:20" ht="11.25">
      <c r="A805" s="175" t="s">
        <v>267</v>
      </c>
      <c r="B805" s="175">
        <v>1</v>
      </c>
      <c r="C805" s="176" t="s">
        <v>469</v>
      </c>
      <c r="D805" s="176" t="s">
        <v>347</v>
      </c>
      <c r="E805" s="176" t="s">
        <v>338</v>
      </c>
      <c r="F805" s="176"/>
      <c r="G805" s="176" t="s">
        <v>324</v>
      </c>
      <c r="H805" s="178" t="s">
        <v>325</v>
      </c>
      <c r="I805" s="175" t="s">
        <v>231</v>
      </c>
      <c r="J805" s="179" t="s">
        <v>352</v>
      </c>
      <c r="K805" s="179"/>
      <c r="L805" s="176" t="s">
        <v>392</v>
      </c>
      <c r="M805" s="180">
        <f>IF(J805="Y",M804*(1+$F$4),IF(J805="I",M804*(1+$E$4),M804))</f>
        <v>166296</v>
      </c>
      <c r="N805" s="181">
        <v>0</v>
      </c>
      <c r="O805" s="181">
        <v>0</v>
      </c>
      <c r="P805" s="181">
        <v>0</v>
      </c>
      <c r="Q805" s="181">
        <v>0</v>
      </c>
      <c r="R805" s="181">
        <v>0</v>
      </c>
      <c r="S805" s="182">
        <f t="shared" si="50"/>
        <v>166296</v>
      </c>
      <c r="T805" s="183"/>
    </row>
    <row r="806" spans="1:20" ht="11.25">
      <c r="A806" s="175" t="s">
        <v>268</v>
      </c>
      <c r="B806" s="175">
        <v>2</v>
      </c>
      <c r="C806" s="176" t="s">
        <v>469</v>
      </c>
      <c r="D806" s="176" t="s">
        <v>347</v>
      </c>
      <c r="E806" s="176" t="s">
        <v>338</v>
      </c>
      <c r="F806" s="176"/>
      <c r="G806" s="176" t="s">
        <v>324</v>
      </c>
      <c r="H806" s="178" t="s">
        <v>325</v>
      </c>
      <c r="I806" s="175" t="s">
        <v>231</v>
      </c>
      <c r="J806" s="179" t="s">
        <v>352</v>
      </c>
      <c r="K806" s="179"/>
      <c r="L806" s="176" t="s">
        <v>392</v>
      </c>
      <c r="M806" s="180">
        <f aca="true" t="shared" si="51" ref="M806:M824">IF(J806="Y",M805*(1+$C$4),IF(J806="I",M805*(1+$E$4),M805))</f>
        <v>170453.4</v>
      </c>
      <c r="N806" s="181">
        <v>0</v>
      </c>
      <c r="O806" s="181">
        <v>0</v>
      </c>
      <c r="P806" s="181">
        <v>0</v>
      </c>
      <c r="Q806" s="181">
        <v>0</v>
      </c>
      <c r="R806" s="181">
        <v>0</v>
      </c>
      <c r="S806" s="182">
        <f t="shared" si="50"/>
        <v>170453.4</v>
      </c>
      <c r="T806" s="183"/>
    </row>
    <row r="807" spans="1:20" ht="11.25">
      <c r="A807" s="175" t="s">
        <v>269</v>
      </c>
      <c r="B807" s="175">
        <v>3</v>
      </c>
      <c r="C807" s="176" t="s">
        <v>469</v>
      </c>
      <c r="D807" s="176" t="s">
        <v>347</v>
      </c>
      <c r="E807" s="176" t="s">
        <v>338</v>
      </c>
      <c r="F807" s="176"/>
      <c r="G807" s="176" t="s">
        <v>324</v>
      </c>
      <c r="H807" s="178" t="s">
        <v>325</v>
      </c>
      <c r="I807" s="175" t="s">
        <v>231</v>
      </c>
      <c r="J807" s="179" t="s">
        <v>352</v>
      </c>
      <c r="K807" s="179"/>
      <c r="L807" s="176" t="s">
        <v>392</v>
      </c>
      <c r="M807" s="180">
        <f t="shared" si="51"/>
        <v>174714.735</v>
      </c>
      <c r="N807" s="181">
        <v>0</v>
      </c>
      <c r="O807" s="181">
        <v>0</v>
      </c>
      <c r="P807" s="181">
        <v>0</v>
      </c>
      <c r="Q807" s="181">
        <v>0</v>
      </c>
      <c r="R807" s="181">
        <v>0</v>
      </c>
      <c r="S807" s="182">
        <f t="shared" si="50"/>
        <v>174714.735</v>
      </c>
      <c r="T807" s="183"/>
    </row>
    <row r="808" spans="1:20" ht="11.25">
      <c r="A808" s="175" t="s">
        <v>270</v>
      </c>
      <c r="B808" s="175">
        <v>4</v>
      </c>
      <c r="C808" s="176" t="s">
        <v>469</v>
      </c>
      <c r="D808" s="176" t="s">
        <v>347</v>
      </c>
      <c r="E808" s="176" t="s">
        <v>338</v>
      </c>
      <c r="F808" s="176"/>
      <c r="G808" s="176" t="s">
        <v>324</v>
      </c>
      <c r="H808" s="178" t="s">
        <v>325</v>
      </c>
      <c r="I808" s="175" t="s">
        <v>231</v>
      </c>
      <c r="J808" s="179" t="s">
        <v>352</v>
      </c>
      <c r="K808" s="179"/>
      <c r="L808" s="176" t="s">
        <v>392</v>
      </c>
      <c r="M808" s="180">
        <f t="shared" si="51"/>
        <v>179082.60337499998</v>
      </c>
      <c r="N808" s="181">
        <v>0</v>
      </c>
      <c r="O808" s="181">
        <v>0</v>
      </c>
      <c r="P808" s="181">
        <v>0</v>
      </c>
      <c r="Q808" s="181">
        <v>0</v>
      </c>
      <c r="R808" s="181">
        <v>0</v>
      </c>
      <c r="S808" s="182">
        <f t="shared" si="50"/>
        <v>179082.60337499998</v>
      </c>
      <c r="T808" s="183"/>
    </row>
    <row r="809" spans="1:20" ht="11.25">
      <c r="A809" s="175" t="s">
        <v>271</v>
      </c>
      <c r="B809" s="175">
        <v>5</v>
      </c>
      <c r="C809" s="176" t="s">
        <v>469</v>
      </c>
      <c r="D809" s="176" t="s">
        <v>347</v>
      </c>
      <c r="E809" s="176" t="s">
        <v>338</v>
      </c>
      <c r="F809" s="176"/>
      <c r="G809" s="176" t="s">
        <v>324</v>
      </c>
      <c r="H809" s="178" t="s">
        <v>325</v>
      </c>
      <c r="I809" s="175" t="s">
        <v>231</v>
      </c>
      <c r="J809" s="179" t="s">
        <v>352</v>
      </c>
      <c r="K809" s="179"/>
      <c r="L809" s="176" t="s">
        <v>392</v>
      </c>
      <c r="M809" s="180">
        <f t="shared" si="51"/>
        <v>183559.66845937495</v>
      </c>
      <c r="N809" s="181">
        <v>0</v>
      </c>
      <c r="O809" s="181">
        <v>0</v>
      </c>
      <c r="P809" s="181">
        <v>0</v>
      </c>
      <c r="Q809" s="181">
        <v>0</v>
      </c>
      <c r="R809" s="181">
        <v>0</v>
      </c>
      <c r="S809" s="182">
        <f t="shared" si="50"/>
        <v>183559.66845937495</v>
      </c>
      <c r="T809" s="183"/>
    </row>
    <row r="810" spans="1:20" ht="11.25">
      <c r="A810" s="175" t="s">
        <v>272</v>
      </c>
      <c r="B810" s="175">
        <v>6</v>
      </c>
      <c r="C810" s="176" t="s">
        <v>469</v>
      </c>
      <c r="D810" s="176" t="s">
        <v>347</v>
      </c>
      <c r="E810" s="176" t="s">
        <v>338</v>
      </c>
      <c r="F810" s="176"/>
      <c r="G810" s="176" t="s">
        <v>324</v>
      </c>
      <c r="H810" s="178" t="s">
        <v>325</v>
      </c>
      <c r="I810" s="175" t="s">
        <v>231</v>
      </c>
      <c r="J810" s="179" t="s">
        <v>352</v>
      </c>
      <c r="K810" s="179"/>
      <c r="L810" s="176" t="s">
        <v>392</v>
      </c>
      <c r="M810" s="180">
        <f t="shared" si="51"/>
        <v>188148.6601708593</v>
      </c>
      <c r="N810" s="181">
        <v>0</v>
      </c>
      <c r="O810" s="181">
        <v>0</v>
      </c>
      <c r="P810" s="181">
        <v>0</v>
      </c>
      <c r="Q810" s="181">
        <v>0</v>
      </c>
      <c r="R810" s="181">
        <v>0</v>
      </c>
      <c r="S810" s="182">
        <f t="shared" si="50"/>
        <v>188148.6601708593</v>
      </c>
      <c r="T810" s="183"/>
    </row>
    <row r="811" spans="1:20" ht="11.25">
      <c r="A811" s="175" t="s">
        <v>273</v>
      </c>
      <c r="B811" s="175">
        <v>7</v>
      </c>
      <c r="C811" s="176" t="s">
        <v>469</v>
      </c>
      <c r="D811" s="176" t="s">
        <v>347</v>
      </c>
      <c r="E811" s="176" t="s">
        <v>338</v>
      </c>
      <c r="F811" s="176"/>
      <c r="G811" s="176" t="s">
        <v>324</v>
      </c>
      <c r="H811" s="178" t="s">
        <v>325</v>
      </c>
      <c r="I811" s="175" t="s">
        <v>231</v>
      </c>
      <c r="J811" s="179" t="s">
        <v>352</v>
      </c>
      <c r="K811" s="179"/>
      <c r="L811" s="176" t="s">
        <v>392</v>
      </c>
      <c r="M811" s="180">
        <f t="shared" si="51"/>
        <v>192852.37667513077</v>
      </c>
      <c r="N811" s="181">
        <v>0</v>
      </c>
      <c r="O811" s="181">
        <v>0</v>
      </c>
      <c r="P811" s="181">
        <v>0</v>
      </c>
      <c r="Q811" s="181">
        <v>0</v>
      </c>
      <c r="R811" s="181">
        <v>0</v>
      </c>
      <c r="S811" s="182">
        <f t="shared" si="50"/>
        <v>192852.37667513077</v>
      </c>
      <c r="T811" s="183"/>
    </row>
    <row r="812" spans="1:20" ht="11.25">
      <c r="A812" s="175" t="s">
        <v>274</v>
      </c>
      <c r="B812" s="175">
        <v>8</v>
      </c>
      <c r="C812" s="176" t="s">
        <v>469</v>
      </c>
      <c r="D812" s="176" t="s">
        <v>347</v>
      </c>
      <c r="E812" s="176" t="s">
        <v>338</v>
      </c>
      <c r="F812" s="176"/>
      <c r="G812" s="176" t="s">
        <v>324</v>
      </c>
      <c r="H812" s="178" t="s">
        <v>325</v>
      </c>
      <c r="I812" s="175" t="s">
        <v>231</v>
      </c>
      <c r="J812" s="179" t="s">
        <v>352</v>
      </c>
      <c r="K812" s="179"/>
      <c r="L812" s="176" t="s">
        <v>392</v>
      </c>
      <c r="M812" s="180">
        <f t="shared" si="51"/>
        <v>197673.686092009</v>
      </c>
      <c r="N812" s="181">
        <v>0</v>
      </c>
      <c r="O812" s="181">
        <v>0</v>
      </c>
      <c r="P812" s="181">
        <v>0</v>
      </c>
      <c r="Q812" s="181">
        <v>0</v>
      </c>
      <c r="R812" s="181">
        <v>0</v>
      </c>
      <c r="S812" s="182">
        <f t="shared" si="50"/>
        <v>197673.686092009</v>
      </c>
      <c r="T812" s="183"/>
    </row>
    <row r="813" spans="1:20" ht="11.25">
      <c r="A813" s="175" t="s">
        <v>275</v>
      </c>
      <c r="B813" s="175">
        <v>9</v>
      </c>
      <c r="C813" s="176" t="s">
        <v>469</v>
      </c>
      <c r="D813" s="176" t="s">
        <v>347</v>
      </c>
      <c r="E813" s="176" t="s">
        <v>338</v>
      </c>
      <c r="F813" s="176"/>
      <c r="G813" s="176" t="s">
        <v>324</v>
      </c>
      <c r="H813" s="178" t="s">
        <v>325</v>
      </c>
      <c r="I813" s="175" t="s">
        <v>231</v>
      </c>
      <c r="J813" s="179" t="s">
        <v>352</v>
      </c>
      <c r="K813" s="179"/>
      <c r="L813" s="176" t="s">
        <v>392</v>
      </c>
      <c r="M813" s="180">
        <f t="shared" si="51"/>
        <v>202615.52824430921</v>
      </c>
      <c r="N813" s="181">
        <v>0</v>
      </c>
      <c r="O813" s="181">
        <v>0</v>
      </c>
      <c r="P813" s="181">
        <v>0</v>
      </c>
      <c r="Q813" s="181">
        <v>0</v>
      </c>
      <c r="R813" s="181">
        <v>0</v>
      </c>
      <c r="S813" s="182">
        <f t="shared" si="50"/>
        <v>202615.52824430921</v>
      </c>
      <c r="T813" s="183"/>
    </row>
    <row r="814" spans="1:20" ht="11.25">
      <c r="A814" s="175" t="s">
        <v>276</v>
      </c>
      <c r="B814" s="175">
        <v>10</v>
      </c>
      <c r="C814" s="176" t="s">
        <v>469</v>
      </c>
      <c r="D814" s="176" t="s">
        <v>347</v>
      </c>
      <c r="E814" s="176" t="s">
        <v>338</v>
      </c>
      <c r="F814" s="176"/>
      <c r="G814" s="176" t="s">
        <v>324</v>
      </c>
      <c r="H814" s="178" t="s">
        <v>325</v>
      </c>
      <c r="I814" s="175" t="s">
        <v>231</v>
      </c>
      <c r="J814" s="179" t="s">
        <v>352</v>
      </c>
      <c r="K814" s="179"/>
      <c r="L814" s="176" t="s">
        <v>392</v>
      </c>
      <c r="M814" s="180">
        <f t="shared" si="51"/>
        <v>207680.91645041693</v>
      </c>
      <c r="N814" s="181">
        <v>0</v>
      </c>
      <c r="O814" s="181">
        <v>0</v>
      </c>
      <c r="P814" s="181">
        <v>0</v>
      </c>
      <c r="Q814" s="181">
        <v>0</v>
      </c>
      <c r="R814" s="181">
        <v>0</v>
      </c>
      <c r="S814" s="182">
        <f t="shared" si="50"/>
        <v>207680.91645041693</v>
      </c>
      <c r="T814" s="183"/>
    </row>
    <row r="815" spans="1:20" ht="11.25">
      <c r="A815" s="175" t="s">
        <v>277</v>
      </c>
      <c r="B815" s="175">
        <v>11</v>
      </c>
      <c r="C815" s="176" t="s">
        <v>469</v>
      </c>
      <c r="D815" s="176" t="s">
        <v>347</v>
      </c>
      <c r="E815" s="176" t="s">
        <v>338</v>
      </c>
      <c r="F815" s="176"/>
      <c r="G815" s="176" t="s">
        <v>324</v>
      </c>
      <c r="H815" s="178" t="s">
        <v>325</v>
      </c>
      <c r="I815" s="175" t="s">
        <v>231</v>
      </c>
      <c r="J815" s="179" t="s">
        <v>352</v>
      </c>
      <c r="K815" s="179"/>
      <c r="L815" s="176" t="s">
        <v>392</v>
      </c>
      <c r="M815" s="180">
        <f t="shared" si="51"/>
        <v>212872.93936167733</v>
      </c>
      <c r="N815" s="181">
        <v>0</v>
      </c>
      <c r="O815" s="181">
        <v>0</v>
      </c>
      <c r="P815" s="181">
        <v>0</v>
      </c>
      <c r="Q815" s="181">
        <v>0</v>
      </c>
      <c r="R815" s="181">
        <v>0</v>
      </c>
      <c r="S815" s="182">
        <f t="shared" si="50"/>
        <v>212872.93936167733</v>
      </c>
      <c r="T815" s="183"/>
    </row>
    <row r="816" spans="1:20" ht="11.25">
      <c r="A816" s="175" t="s">
        <v>278</v>
      </c>
      <c r="B816" s="175">
        <v>12</v>
      </c>
      <c r="C816" s="176" t="s">
        <v>469</v>
      </c>
      <c r="D816" s="176" t="s">
        <v>347</v>
      </c>
      <c r="E816" s="176" t="s">
        <v>338</v>
      </c>
      <c r="F816" s="176"/>
      <c r="G816" s="176" t="s">
        <v>324</v>
      </c>
      <c r="H816" s="178" t="s">
        <v>325</v>
      </c>
      <c r="I816" s="175" t="s">
        <v>231</v>
      </c>
      <c r="J816" s="179" t="s">
        <v>352</v>
      </c>
      <c r="K816" s="179"/>
      <c r="L816" s="176" t="s">
        <v>392</v>
      </c>
      <c r="M816" s="180">
        <f t="shared" si="51"/>
        <v>218194.76284571923</v>
      </c>
      <c r="N816" s="181">
        <v>0</v>
      </c>
      <c r="O816" s="181">
        <v>0</v>
      </c>
      <c r="P816" s="181">
        <v>0</v>
      </c>
      <c r="Q816" s="181">
        <v>0</v>
      </c>
      <c r="R816" s="181">
        <v>0</v>
      </c>
      <c r="S816" s="182">
        <f t="shared" si="50"/>
        <v>218194.76284571923</v>
      </c>
      <c r="T816" s="183"/>
    </row>
    <row r="817" spans="1:20" ht="11.25">
      <c r="A817" s="175" t="s">
        <v>279</v>
      </c>
      <c r="B817" s="175">
        <v>13</v>
      </c>
      <c r="C817" s="176" t="s">
        <v>469</v>
      </c>
      <c r="D817" s="176" t="s">
        <v>347</v>
      </c>
      <c r="E817" s="176" t="s">
        <v>338</v>
      </c>
      <c r="F817" s="176"/>
      <c r="G817" s="176" t="s">
        <v>324</v>
      </c>
      <c r="H817" s="178" t="s">
        <v>325</v>
      </c>
      <c r="I817" s="175" t="s">
        <v>231</v>
      </c>
      <c r="J817" s="179" t="s">
        <v>352</v>
      </c>
      <c r="K817" s="179"/>
      <c r="L817" s="176" t="s">
        <v>392</v>
      </c>
      <c r="M817" s="180">
        <f t="shared" si="51"/>
        <v>223649.63191686218</v>
      </c>
      <c r="N817" s="181">
        <v>0</v>
      </c>
      <c r="O817" s="181">
        <v>0</v>
      </c>
      <c r="P817" s="181">
        <v>0</v>
      </c>
      <c r="Q817" s="181">
        <v>0</v>
      </c>
      <c r="R817" s="181">
        <v>0</v>
      </c>
      <c r="S817" s="182">
        <f t="shared" si="50"/>
        <v>223649.63191686218</v>
      </c>
      <c r="T817" s="183"/>
    </row>
    <row r="818" spans="1:20" ht="11.25">
      <c r="A818" s="175" t="s">
        <v>280</v>
      </c>
      <c r="B818" s="175">
        <v>14</v>
      </c>
      <c r="C818" s="176" t="s">
        <v>469</v>
      </c>
      <c r="D818" s="176" t="s">
        <v>347</v>
      </c>
      <c r="E818" s="176" t="s">
        <v>338</v>
      </c>
      <c r="F818" s="176"/>
      <c r="G818" s="176" t="s">
        <v>324</v>
      </c>
      <c r="H818" s="178" t="s">
        <v>325</v>
      </c>
      <c r="I818" s="175" t="s">
        <v>231</v>
      </c>
      <c r="J818" s="179" t="s">
        <v>352</v>
      </c>
      <c r="K818" s="179"/>
      <c r="L818" s="176" t="s">
        <v>392</v>
      </c>
      <c r="M818" s="180">
        <f t="shared" si="51"/>
        <v>229240.8727147837</v>
      </c>
      <c r="N818" s="181">
        <v>0</v>
      </c>
      <c r="O818" s="181">
        <v>0</v>
      </c>
      <c r="P818" s="181">
        <v>0</v>
      </c>
      <c r="Q818" s="181">
        <v>0</v>
      </c>
      <c r="R818" s="181">
        <v>0</v>
      </c>
      <c r="S818" s="182">
        <f t="shared" si="50"/>
        <v>229240.8727147837</v>
      </c>
      <c r="T818" s="183"/>
    </row>
    <row r="819" spans="1:20" ht="11.25">
      <c r="A819" s="175" t="s">
        <v>281</v>
      </c>
      <c r="B819" s="175">
        <v>15</v>
      </c>
      <c r="C819" s="176" t="s">
        <v>469</v>
      </c>
      <c r="D819" s="176" t="s">
        <v>347</v>
      </c>
      <c r="E819" s="176" t="s">
        <v>338</v>
      </c>
      <c r="F819" s="176"/>
      <c r="G819" s="176" t="s">
        <v>324</v>
      </c>
      <c r="H819" s="178" t="s">
        <v>325</v>
      </c>
      <c r="I819" s="175" t="s">
        <v>231</v>
      </c>
      <c r="J819" s="179" t="s">
        <v>352</v>
      </c>
      <c r="K819" s="179"/>
      <c r="L819" s="176" t="s">
        <v>392</v>
      </c>
      <c r="M819" s="180">
        <f t="shared" si="51"/>
        <v>234971.89453265327</v>
      </c>
      <c r="N819" s="181">
        <v>0</v>
      </c>
      <c r="O819" s="181">
        <v>0</v>
      </c>
      <c r="P819" s="181">
        <v>0</v>
      </c>
      <c r="Q819" s="181">
        <v>0</v>
      </c>
      <c r="R819" s="181">
        <v>0</v>
      </c>
      <c r="S819" s="182">
        <f t="shared" si="50"/>
        <v>234971.89453265327</v>
      </c>
      <c r="T819" s="183"/>
    </row>
    <row r="820" spans="1:20" ht="11.25">
      <c r="A820" s="175" t="s">
        <v>282</v>
      </c>
      <c r="B820" s="175">
        <v>16</v>
      </c>
      <c r="C820" s="176" t="s">
        <v>469</v>
      </c>
      <c r="D820" s="176" t="s">
        <v>347</v>
      </c>
      <c r="E820" s="176" t="s">
        <v>338</v>
      </c>
      <c r="F820" s="176"/>
      <c r="G820" s="176" t="s">
        <v>324</v>
      </c>
      <c r="H820" s="178" t="s">
        <v>325</v>
      </c>
      <c r="I820" s="175" t="s">
        <v>231</v>
      </c>
      <c r="J820" s="179" t="s">
        <v>352</v>
      </c>
      <c r="K820" s="179"/>
      <c r="L820" s="176" t="s">
        <v>392</v>
      </c>
      <c r="M820" s="180">
        <f t="shared" si="51"/>
        <v>240846.1918959696</v>
      </c>
      <c r="N820" s="181">
        <v>0</v>
      </c>
      <c r="O820" s="181">
        <v>0</v>
      </c>
      <c r="P820" s="181">
        <v>0</v>
      </c>
      <c r="Q820" s="181">
        <v>0</v>
      </c>
      <c r="R820" s="181">
        <v>0</v>
      </c>
      <c r="S820" s="182">
        <f t="shared" si="50"/>
        <v>240846.1918959696</v>
      </c>
      <c r="T820" s="183"/>
    </row>
    <row r="821" spans="1:20" ht="11.25">
      <c r="A821" s="175" t="s">
        <v>283</v>
      </c>
      <c r="B821" s="175">
        <v>17</v>
      </c>
      <c r="C821" s="176" t="s">
        <v>469</v>
      </c>
      <c r="D821" s="176" t="s">
        <v>347</v>
      </c>
      <c r="E821" s="176" t="s">
        <v>338</v>
      </c>
      <c r="F821" s="176"/>
      <c r="G821" s="176" t="s">
        <v>324</v>
      </c>
      <c r="H821" s="178" t="s">
        <v>325</v>
      </c>
      <c r="I821" s="175" t="s">
        <v>231</v>
      </c>
      <c r="J821" s="179" t="s">
        <v>352</v>
      </c>
      <c r="K821" s="179"/>
      <c r="L821" s="176" t="s">
        <v>392</v>
      </c>
      <c r="M821" s="180">
        <f t="shared" si="51"/>
        <v>246867.3466933688</v>
      </c>
      <c r="N821" s="181">
        <v>0</v>
      </c>
      <c r="O821" s="181">
        <v>0</v>
      </c>
      <c r="P821" s="181">
        <v>0</v>
      </c>
      <c r="Q821" s="181">
        <v>0</v>
      </c>
      <c r="R821" s="181">
        <v>0</v>
      </c>
      <c r="S821" s="182">
        <f t="shared" si="50"/>
        <v>246867.3466933688</v>
      </c>
      <c r="T821" s="183"/>
    </row>
    <row r="822" spans="1:20" ht="11.25">
      <c r="A822" s="175" t="s">
        <v>284</v>
      </c>
      <c r="B822" s="175">
        <v>18</v>
      </c>
      <c r="C822" s="176" t="s">
        <v>469</v>
      </c>
      <c r="D822" s="176" t="s">
        <v>347</v>
      </c>
      <c r="E822" s="176" t="s">
        <v>338</v>
      </c>
      <c r="F822" s="176"/>
      <c r="G822" s="176" t="s">
        <v>324</v>
      </c>
      <c r="H822" s="178" t="s">
        <v>325</v>
      </c>
      <c r="I822" s="175" t="s">
        <v>231</v>
      </c>
      <c r="J822" s="179" t="s">
        <v>352</v>
      </c>
      <c r="K822" s="179"/>
      <c r="L822" s="176" t="s">
        <v>392</v>
      </c>
      <c r="M822" s="180">
        <f t="shared" si="51"/>
        <v>253039.030360703</v>
      </c>
      <c r="N822" s="181">
        <v>0</v>
      </c>
      <c r="O822" s="181">
        <v>0</v>
      </c>
      <c r="P822" s="181">
        <v>0</v>
      </c>
      <c r="Q822" s="181">
        <v>0</v>
      </c>
      <c r="R822" s="181">
        <v>0</v>
      </c>
      <c r="S822" s="182">
        <f t="shared" si="50"/>
        <v>253039.030360703</v>
      </c>
      <c r="T822" s="183"/>
    </row>
    <row r="823" spans="1:20" ht="11.25">
      <c r="A823" s="175" t="s">
        <v>285</v>
      </c>
      <c r="B823" s="175">
        <v>19</v>
      </c>
      <c r="C823" s="176" t="s">
        <v>469</v>
      </c>
      <c r="D823" s="176" t="s">
        <v>347</v>
      </c>
      <c r="E823" s="176" t="s">
        <v>338</v>
      </c>
      <c r="F823" s="176"/>
      <c r="G823" s="176" t="s">
        <v>324</v>
      </c>
      <c r="H823" s="178" t="s">
        <v>325</v>
      </c>
      <c r="I823" s="175" t="s">
        <v>231</v>
      </c>
      <c r="J823" s="179" t="s">
        <v>352</v>
      </c>
      <c r="K823" s="179"/>
      <c r="L823" s="176" t="s">
        <v>392</v>
      </c>
      <c r="M823" s="180">
        <f t="shared" si="51"/>
        <v>259365.00611972055</v>
      </c>
      <c r="N823" s="181">
        <v>0</v>
      </c>
      <c r="O823" s="181">
        <v>0</v>
      </c>
      <c r="P823" s="181">
        <v>0</v>
      </c>
      <c r="Q823" s="181">
        <v>0</v>
      </c>
      <c r="R823" s="181">
        <v>0</v>
      </c>
      <c r="S823" s="182">
        <f t="shared" si="50"/>
        <v>259365.00611972055</v>
      </c>
      <c r="T823" s="183"/>
    </row>
    <row r="824" spans="1:20" ht="11.25">
      <c r="A824" s="175" t="s">
        <v>303</v>
      </c>
      <c r="B824" s="175">
        <v>20</v>
      </c>
      <c r="C824" s="176" t="s">
        <v>469</v>
      </c>
      <c r="D824" s="176" t="s">
        <v>347</v>
      </c>
      <c r="E824" s="176" t="s">
        <v>338</v>
      </c>
      <c r="F824" s="176"/>
      <c r="G824" s="176" t="s">
        <v>324</v>
      </c>
      <c r="H824" s="178" t="s">
        <v>325</v>
      </c>
      <c r="I824" s="175" t="s">
        <v>231</v>
      </c>
      <c r="J824" s="179" t="s">
        <v>352</v>
      </c>
      <c r="K824" s="179"/>
      <c r="L824" s="176" t="s">
        <v>392</v>
      </c>
      <c r="M824" s="180">
        <f t="shared" si="51"/>
        <v>265849.13127271354</v>
      </c>
      <c r="N824" s="181">
        <v>0</v>
      </c>
      <c r="O824" s="181">
        <v>0</v>
      </c>
      <c r="P824" s="181">
        <v>0</v>
      </c>
      <c r="Q824" s="181">
        <v>0</v>
      </c>
      <c r="R824" s="181">
        <v>0</v>
      </c>
      <c r="S824" s="182">
        <f t="shared" si="50"/>
        <v>265849.13127271354</v>
      </c>
      <c r="T824" s="183"/>
    </row>
    <row r="825" spans="1:20" ht="11.25">
      <c r="A825" s="175" t="s">
        <v>265</v>
      </c>
      <c r="B825" s="175">
        <v>0</v>
      </c>
      <c r="C825" s="176" t="s">
        <v>469</v>
      </c>
      <c r="D825" s="176" t="s">
        <v>328</v>
      </c>
      <c r="E825" s="176" t="s">
        <v>329</v>
      </c>
      <c r="F825" s="176"/>
      <c r="G825" s="176" t="s">
        <v>324</v>
      </c>
      <c r="H825" s="178" t="s">
        <v>325</v>
      </c>
      <c r="I825" s="175" t="s">
        <v>231</v>
      </c>
      <c r="J825" s="179" t="s">
        <v>326</v>
      </c>
      <c r="K825" s="179"/>
      <c r="L825" s="176" t="s">
        <v>393</v>
      </c>
      <c r="M825" s="180">
        <v>100000</v>
      </c>
      <c r="N825" s="181">
        <v>0</v>
      </c>
      <c r="O825" s="181">
        <v>0</v>
      </c>
      <c r="P825" s="181">
        <v>0</v>
      </c>
      <c r="Q825" s="181">
        <v>0</v>
      </c>
      <c r="R825" s="181">
        <v>0</v>
      </c>
      <c r="S825" s="182">
        <f t="shared" si="50"/>
        <v>100000</v>
      </c>
      <c r="T825" s="183"/>
    </row>
    <row r="826" spans="1:20" ht="11.25">
      <c r="A826" s="175" t="s">
        <v>267</v>
      </c>
      <c r="B826" s="175">
        <v>1</v>
      </c>
      <c r="C826" s="176" t="s">
        <v>469</v>
      </c>
      <c r="D826" s="176" t="s">
        <v>328</v>
      </c>
      <c r="E826" s="176" t="s">
        <v>329</v>
      </c>
      <c r="F826" s="176"/>
      <c r="G826" s="176" t="s">
        <v>324</v>
      </c>
      <c r="H826" s="178" t="s">
        <v>325</v>
      </c>
      <c r="I826" s="175" t="s">
        <v>231</v>
      </c>
      <c r="J826" s="179" t="s">
        <v>352</v>
      </c>
      <c r="K826" s="179"/>
      <c r="L826" s="176" t="s">
        <v>393</v>
      </c>
      <c r="M826" s="180">
        <f>IF(J826="Y",M825*(1+$F$4),IF(J826="I",M825*(1+$E$4),M825))</f>
        <v>102499.99999999999</v>
      </c>
      <c r="N826" s="181">
        <v>0</v>
      </c>
      <c r="O826" s="181">
        <v>0</v>
      </c>
      <c r="P826" s="181">
        <v>0</v>
      </c>
      <c r="Q826" s="181">
        <v>0</v>
      </c>
      <c r="R826" s="181">
        <v>0</v>
      </c>
      <c r="S826" s="182">
        <f t="shared" si="50"/>
        <v>102499.99999999999</v>
      </c>
      <c r="T826" s="183"/>
    </row>
    <row r="827" spans="1:20" ht="11.25">
      <c r="A827" s="175" t="s">
        <v>268</v>
      </c>
      <c r="B827" s="175">
        <v>2</v>
      </c>
      <c r="C827" s="176" t="s">
        <v>469</v>
      </c>
      <c r="D827" s="176" t="s">
        <v>328</v>
      </c>
      <c r="E827" s="176" t="s">
        <v>329</v>
      </c>
      <c r="F827" s="176"/>
      <c r="G827" s="176" t="s">
        <v>324</v>
      </c>
      <c r="H827" s="178" t="s">
        <v>325</v>
      </c>
      <c r="I827" s="175" t="s">
        <v>231</v>
      </c>
      <c r="J827" s="179" t="s">
        <v>352</v>
      </c>
      <c r="K827" s="179"/>
      <c r="L827" s="176" t="s">
        <v>393</v>
      </c>
      <c r="M827" s="180">
        <f aca="true" t="shared" si="52" ref="M827:M845">IF(J827="Y",M826*(1+$C$4),IF(J827="I",M826*(1+$E$4),M826))</f>
        <v>105062.49999999997</v>
      </c>
      <c r="N827" s="181">
        <v>0</v>
      </c>
      <c r="O827" s="181">
        <v>0</v>
      </c>
      <c r="P827" s="181">
        <v>0</v>
      </c>
      <c r="Q827" s="181">
        <v>0</v>
      </c>
      <c r="R827" s="181">
        <v>0</v>
      </c>
      <c r="S827" s="182">
        <f t="shared" si="50"/>
        <v>105062.49999999997</v>
      </c>
      <c r="T827" s="183"/>
    </row>
    <row r="828" spans="1:20" ht="11.25">
      <c r="A828" s="175" t="s">
        <v>269</v>
      </c>
      <c r="B828" s="175">
        <v>3</v>
      </c>
      <c r="C828" s="176" t="s">
        <v>469</v>
      </c>
      <c r="D828" s="176" t="s">
        <v>328</v>
      </c>
      <c r="E828" s="176" t="s">
        <v>329</v>
      </c>
      <c r="F828" s="176"/>
      <c r="G828" s="176" t="s">
        <v>324</v>
      </c>
      <c r="H828" s="178" t="s">
        <v>325</v>
      </c>
      <c r="I828" s="175" t="s">
        <v>231</v>
      </c>
      <c r="J828" s="179" t="s">
        <v>352</v>
      </c>
      <c r="K828" s="179"/>
      <c r="L828" s="176" t="s">
        <v>393</v>
      </c>
      <c r="M828" s="180">
        <f t="shared" si="52"/>
        <v>107689.06249999996</v>
      </c>
      <c r="N828" s="181">
        <v>0</v>
      </c>
      <c r="O828" s="181">
        <v>0</v>
      </c>
      <c r="P828" s="181">
        <v>0</v>
      </c>
      <c r="Q828" s="181">
        <v>0</v>
      </c>
      <c r="R828" s="181">
        <v>0</v>
      </c>
      <c r="S828" s="182">
        <f t="shared" si="50"/>
        <v>107689.06249999996</v>
      </c>
      <c r="T828" s="183"/>
    </row>
    <row r="829" spans="1:20" ht="11.25">
      <c r="A829" s="175" t="s">
        <v>270</v>
      </c>
      <c r="B829" s="175">
        <v>4</v>
      </c>
      <c r="C829" s="176" t="s">
        <v>469</v>
      </c>
      <c r="D829" s="176" t="s">
        <v>328</v>
      </c>
      <c r="E829" s="176" t="s">
        <v>329</v>
      </c>
      <c r="F829" s="176"/>
      <c r="G829" s="176" t="s">
        <v>324</v>
      </c>
      <c r="H829" s="178" t="s">
        <v>325</v>
      </c>
      <c r="I829" s="175" t="s">
        <v>231</v>
      </c>
      <c r="J829" s="179" t="s">
        <v>352</v>
      </c>
      <c r="K829" s="179"/>
      <c r="L829" s="176" t="s">
        <v>393</v>
      </c>
      <c r="M829" s="180">
        <f t="shared" si="52"/>
        <v>110381.28906249994</v>
      </c>
      <c r="N829" s="181">
        <v>0</v>
      </c>
      <c r="O829" s="181">
        <v>0</v>
      </c>
      <c r="P829" s="181">
        <v>0</v>
      </c>
      <c r="Q829" s="181">
        <v>0</v>
      </c>
      <c r="R829" s="181">
        <v>0</v>
      </c>
      <c r="S829" s="182">
        <f t="shared" si="50"/>
        <v>110381.28906249994</v>
      </c>
      <c r="T829" s="183"/>
    </row>
    <row r="830" spans="1:20" ht="11.25">
      <c r="A830" s="175" t="s">
        <v>271</v>
      </c>
      <c r="B830" s="175">
        <v>5</v>
      </c>
      <c r="C830" s="176" t="s">
        <v>469</v>
      </c>
      <c r="D830" s="176" t="s">
        <v>328</v>
      </c>
      <c r="E830" s="176" t="s">
        <v>329</v>
      </c>
      <c r="F830" s="176"/>
      <c r="G830" s="176" t="s">
        <v>324</v>
      </c>
      <c r="H830" s="178" t="s">
        <v>325</v>
      </c>
      <c r="I830" s="175" t="s">
        <v>231</v>
      </c>
      <c r="J830" s="179" t="s">
        <v>352</v>
      </c>
      <c r="K830" s="179"/>
      <c r="L830" s="176" t="s">
        <v>393</v>
      </c>
      <c r="M830" s="180">
        <f t="shared" si="52"/>
        <v>113140.82128906243</v>
      </c>
      <c r="N830" s="181">
        <v>0</v>
      </c>
      <c r="O830" s="181">
        <v>0</v>
      </c>
      <c r="P830" s="181">
        <v>0</v>
      </c>
      <c r="Q830" s="181">
        <v>0</v>
      </c>
      <c r="R830" s="181">
        <v>0</v>
      </c>
      <c r="S830" s="182">
        <f t="shared" si="50"/>
        <v>113140.82128906243</v>
      </c>
      <c r="T830" s="183"/>
    </row>
    <row r="831" spans="1:20" ht="11.25">
      <c r="A831" s="175" t="s">
        <v>272</v>
      </c>
      <c r="B831" s="175">
        <v>6</v>
      </c>
      <c r="C831" s="176" t="s">
        <v>469</v>
      </c>
      <c r="D831" s="176" t="s">
        <v>328</v>
      </c>
      <c r="E831" s="176" t="s">
        <v>329</v>
      </c>
      <c r="F831" s="176"/>
      <c r="G831" s="176" t="s">
        <v>324</v>
      </c>
      <c r="H831" s="178" t="s">
        <v>325</v>
      </c>
      <c r="I831" s="175" t="s">
        <v>231</v>
      </c>
      <c r="J831" s="179" t="s">
        <v>352</v>
      </c>
      <c r="K831" s="179"/>
      <c r="L831" s="176" t="s">
        <v>393</v>
      </c>
      <c r="M831" s="180">
        <f t="shared" si="52"/>
        <v>115969.34182128898</v>
      </c>
      <c r="N831" s="181">
        <v>0</v>
      </c>
      <c r="O831" s="181">
        <v>0</v>
      </c>
      <c r="P831" s="181">
        <v>0</v>
      </c>
      <c r="Q831" s="181">
        <v>0</v>
      </c>
      <c r="R831" s="181">
        <v>0</v>
      </c>
      <c r="S831" s="182">
        <f t="shared" si="50"/>
        <v>115969.34182128898</v>
      </c>
      <c r="T831" s="183"/>
    </row>
    <row r="832" spans="1:20" ht="11.25">
      <c r="A832" s="175" t="s">
        <v>273</v>
      </c>
      <c r="B832" s="175">
        <v>7</v>
      </c>
      <c r="C832" s="176" t="s">
        <v>469</v>
      </c>
      <c r="D832" s="176" t="s">
        <v>328</v>
      </c>
      <c r="E832" s="176" t="s">
        <v>329</v>
      </c>
      <c r="F832" s="176"/>
      <c r="G832" s="176" t="s">
        <v>324</v>
      </c>
      <c r="H832" s="178" t="s">
        <v>325</v>
      </c>
      <c r="I832" s="175" t="s">
        <v>231</v>
      </c>
      <c r="J832" s="179" t="s">
        <v>352</v>
      </c>
      <c r="K832" s="179"/>
      <c r="L832" s="176" t="s">
        <v>393</v>
      </c>
      <c r="M832" s="180">
        <f t="shared" si="52"/>
        <v>118868.5753668212</v>
      </c>
      <c r="N832" s="181">
        <v>0</v>
      </c>
      <c r="O832" s="181">
        <v>0</v>
      </c>
      <c r="P832" s="181">
        <v>0</v>
      </c>
      <c r="Q832" s="181">
        <v>0</v>
      </c>
      <c r="R832" s="181">
        <v>0</v>
      </c>
      <c r="S832" s="182">
        <f t="shared" si="50"/>
        <v>118868.5753668212</v>
      </c>
      <c r="T832" s="183"/>
    </row>
    <row r="833" spans="1:20" ht="11.25">
      <c r="A833" s="175" t="s">
        <v>274</v>
      </c>
      <c r="B833" s="175">
        <v>8</v>
      </c>
      <c r="C833" s="176" t="s">
        <v>469</v>
      </c>
      <c r="D833" s="176" t="s">
        <v>328</v>
      </c>
      <c r="E833" s="176" t="s">
        <v>329</v>
      </c>
      <c r="F833" s="176"/>
      <c r="G833" s="176" t="s">
        <v>324</v>
      </c>
      <c r="H833" s="178" t="s">
        <v>325</v>
      </c>
      <c r="I833" s="175" t="s">
        <v>231</v>
      </c>
      <c r="J833" s="179" t="s">
        <v>352</v>
      </c>
      <c r="K833" s="179"/>
      <c r="L833" s="176" t="s">
        <v>393</v>
      </c>
      <c r="M833" s="180">
        <f t="shared" si="52"/>
        <v>121840.28975099172</v>
      </c>
      <c r="N833" s="181">
        <v>0</v>
      </c>
      <c r="O833" s="181">
        <v>0</v>
      </c>
      <c r="P833" s="181">
        <v>0</v>
      </c>
      <c r="Q833" s="181">
        <v>0</v>
      </c>
      <c r="R833" s="181">
        <v>0</v>
      </c>
      <c r="S833" s="182">
        <f t="shared" si="50"/>
        <v>121840.28975099172</v>
      </c>
      <c r="T833" s="183"/>
    </row>
    <row r="834" spans="1:20" ht="11.25">
      <c r="A834" s="175" t="s">
        <v>275</v>
      </c>
      <c r="B834" s="175">
        <v>9</v>
      </c>
      <c r="C834" s="176" t="s">
        <v>469</v>
      </c>
      <c r="D834" s="176" t="s">
        <v>328</v>
      </c>
      <c r="E834" s="176" t="s">
        <v>329</v>
      </c>
      <c r="F834" s="176"/>
      <c r="G834" s="176" t="s">
        <v>324</v>
      </c>
      <c r="H834" s="178" t="s">
        <v>325</v>
      </c>
      <c r="I834" s="175" t="s">
        <v>231</v>
      </c>
      <c r="J834" s="179" t="s">
        <v>352</v>
      </c>
      <c r="K834" s="179"/>
      <c r="L834" s="176" t="s">
        <v>393</v>
      </c>
      <c r="M834" s="180">
        <f t="shared" si="52"/>
        <v>124886.29699476651</v>
      </c>
      <c r="N834" s="181">
        <v>0</v>
      </c>
      <c r="O834" s="181">
        <v>0</v>
      </c>
      <c r="P834" s="181">
        <v>0</v>
      </c>
      <c r="Q834" s="181">
        <v>0</v>
      </c>
      <c r="R834" s="181">
        <v>0</v>
      </c>
      <c r="S834" s="182">
        <f t="shared" si="50"/>
        <v>124886.29699476651</v>
      </c>
      <c r="T834" s="183"/>
    </row>
    <row r="835" spans="1:20" ht="11.25">
      <c r="A835" s="175" t="s">
        <v>276</v>
      </c>
      <c r="B835" s="175">
        <v>10</v>
      </c>
      <c r="C835" s="176" t="s">
        <v>469</v>
      </c>
      <c r="D835" s="176" t="s">
        <v>328</v>
      </c>
      <c r="E835" s="176" t="s">
        <v>329</v>
      </c>
      <c r="F835" s="176"/>
      <c r="G835" s="176" t="s">
        <v>324</v>
      </c>
      <c r="H835" s="178" t="s">
        <v>325</v>
      </c>
      <c r="I835" s="175" t="s">
        <v>231</v>
      </c>
      <c r="J835" s="179" t="s">
        <v>352</v>
      </c>
      <c r="K835" s="179"/>
      <c r="L835" s="176" t="s">
        <v>393</v>
      </c>
      <c r="M835" s="180">
        <f t="shared" si="52"/>
        <v>128008.45441963566</v>
      </c>
      <c r="N835" s="181">
        <v>0</v>
      </c>
      <c r="O835" s="181">
        <v>0</v>
      </c>
      <c r="P835" s="181">
        <v>0</v>
      </c>
      <c r="Q835" s="181">
        <v>0</v>
      </c>
      <c r="R835" s="181">
        <v>0</v>
      </c>
      <c r="S835" s="182">
        <f t="shared" si="50"/>
        <v>128008.45441963566</v>
      </c>
      <c r="T835" s="183"/>
    </row>
    <row r="836" spans="1:20" ht="11.25">
      <c r="A836" s="175" t="s">
        <v>277</v>
      </c>
      <c r="B836" s="175">
        <v>11</v>
      </c>
      <c r="C836" s="176" t="s">
        <v>469</v>
      </c>
      <c r="D836" s="176" t="s">
        <v>328</v>
      </c>
      <c r="E836" s="176" t="s">
        <v>329</v>
      </c>
      <c r="F836" s="176"/>
      <c r="G836" s="176" t="s">
        <v>324</v>
      </c>
      <c r="H836" s="178" t="s">
        <v>325</v>
      </c>
      <c r="I836" s="175" t="s">
        <v>231</v>
      </c>
      <c r="J836" s="179" t="s">
        <v>352</v>
      </c>
      <c r="K836" s="179"/>
      <c r="L836" s="176" t="s">
        <v>393</v>
      </c>
      <c r="M836" s="180">
        <f t="shared" si="52"/>
        <v>131208.66578012652</v>
      </c>
      <c r="N836" s="181">
        <v>0</v>
      </c>
      <c r="O836" s="181">
        <v>0</v>
      </c>
      <c r="P836" s="181">
        <v>0</v>
      </c>
      <c r="Q836" s="181">
        <v>0</v>
      </c>
      <c r="R836" s="181">
        <v>0</v>
      </c>
      <c r="S836" s="182">
        <f t="shared" si="50"/>
        <v>131208.66578012652</v>
      </c>
      <c r="T836" s="183"/>
    </row>
    <row r="837" spans="1:20" ht="11.25">
      <c r="A837" s="175" t="s">
        <v>278</v>
      </c>
      <c r="B837" s="175">
        <v>12</v>
      </c>
      <c r="C837" s="176" t="s">
        <v>469</v>
      </c>
      <c r="D837" s="176" t="s">
        <v>328</v>
      </c>
      <c r="E837" s="176" t="s">
        <v>329</v>
      </c>
      <c r="F837" s="176"/>
      <c r="G837" s="176" t="s">
        <v>324</v>
      </c>
      <c r="H837" s="178" t="s">
        <v>325</v>
      </c>
      <c r="I837" s="175" t="s">
        <v>231</v>
      </c>
      <c r="J837" s="179" t="s">
        <v>352</v>
      </c>
      <c r="K837" s="179"/>
      <c r="L837" s="176" t="s">
        <v>393</v>
      </c>
      <c r="M837" s="180">
        <f t="shared" si="52"/>
        <v>134488.88242462967</v>
      </c>
      <c r="N837" s="181">
        <v>0</v>
      </c>
      <c r="O837" s="181">
        <v>0</v>
      </c>
      <c r="P837" s="181">
        <v>0</v>
      </c>
      <c r="Q837" s="181">
        <v>0</v>
      </c>
      <c r="R837" s="181">
        <v>0</v>
      </c>
      <c r="S837" s="182">
        <f t="shared" si="50"/>
        <v>134488.88242462967</v>
      </c>
      <c r="T837" s="183"/>
    </row>
    <row r="838" spans="1:20" ht="11.25">
      <c r="A838" s="175" t="s">
        <v>279</v>
      </c>
      <c r="B838" s="175">
        <v>13</v>
      </c>
      <c r="C838" s="176" t="s">
        <v>469</v>
      </c>
      <c r="D838" s="176" t="s">
        <v>328</v>
      </c>
      <c r="E838" s="176" t="s">
        <v>329</v>
      </c>
      <c r="F838" s="176"/>
      <c r="G838" s="176" t="s">
        <v>324</v>
      </c>
      <c r="H838" s="178" t="s">
        <v>325</v>
      </c>
      <c r="I838" s="175" t="s">
        <v>231</v>
      </c>
      <c r="J838" s="179" t="s">
        <v>352</v>
      </c>
      <c r="K838" s="179"/>
      <c r="L838" s="176" t="s">
        <v>393</v>
      </c>
      <c r="M838" s="180">
        <f t="shared" si="52"/>
        <v>137851.1044852454</v>
      </c>
      <c r="N838" s="181">
        <v>0</v>
      </c>
      <c r="O838" s="181">
        <v>0</v>
      </c>
      <c r="P838" s="181">
        <v>0</v>
      </c>
      <c r="Q838" s="181">
        <v>0</v>
      </c>
      <c r="R838" s="181">
        <v>0</v>
      </c>
      <c r="S838" s="182">
        <f t="shared" si="50"/>
        <v>137851.1044852454</v>
      </c>
      <c r="T838" s="183"/>
    </row>
    <row r="839" spans="1:20" ht="11.25">
      <c r="A839" s="175" t="s">
        <v>280</v>
      </c>
      <c r="B839" s="175">
        <v>14</v>
      </c>
      <c r="C839" s="176" t="s">
        <v>469</v>
      </c>
      <c r="D839" s="176" t="s">
        <v>328</v>
      </c>
      <c r="E839" s="176" t="s">
        <v>329</v>
      </c>
      <c r="F839" s="176"/>
      <c r="G839" s="176" t="s">
        <v>324</v>
      </c>
      <c r="H839" s="178" t="s">
        <v>325</v>
      </c>
      <c r="I839" s="175" t="s">
        <v>231</v>
      </c>
      <c r="J839" s="179" t="s">
        <v>352</v>
      </c>
      <c r="K839" s="179"/>
      <c r="L839" s="176" t="s">
        <v>393</v>
      </c>
      <c r="M839" s="180">
        <f t="shared" si="52"/>
        <v>141297.3820973765</v>
      </c>
      <c r="N839" s="181">
        <v>0</v>
      </c>
      <c r="O839" s="181">
        <v>0</v>
      </c>
      <c r="P839" s="181">
        <v>0</v>
      </c>
      <c r="Q839" s="181">
        <v>0</v>
      </c>
      <c r="R839" s="181">
        <v>0</v>
      </c>
      <c r="S839" s="182">
        <f t="shared" si="50"/>
        <v>141297.3820973765</v>
      </c>
      <c r="T839" s="183"/>
    </row>
    <row r="840" spans="1:20" ht="11.25">
      <c r="A840" s="175" t="s">
        <v>281</v>
      </c>
      <c r="B840" s="175">
        <v>15</v>
      </c>
      <c r="C840" s="176" t="s">
        <v>469</v>
      </c>
      <c r="D840" s="176" t="s">
        <v>328</v>
      </c>
      <c r="E840" s="176" t="s">
        <v>329</v>
      </c>
      <c r="F840" s="176"/>
      <c r="G840" s="176" t="s">
        <v>324</v>
      </c>
      <c r="H840" s="178" t="s">
        <v>325</v>
      </c>
      <c r="I840" s="175" t="s">
        <v>231</v>
      </c>
      <c r="J840" s="179" t="s">
        <v>352</v>
      </c>
      <c r="K840" s="179"/>
      <c r="L840" s="176" t="s">
        <v>393</v>
      </c>
      <c r="M840" s="180">
        <f t="shared" si="52"/>
        <v>144829.8166498109</v>
      </c>
      <c r="N840" s="181">
        <v>0</v>
      </c>
      <c r="O840" s="181">
        <v>0</v>
      </c>
      <c r="P840" s="181">
        <v>0</v>
      </c>
      <c r="Q840" s="181">
        <v>0</v>
      </c>
      <c r="R840" s="181">
        <v>0</v>
      </c>
      <c r="S840" s="182">
        <f t="shared" si="50"/>
        <v>144829.8166498109</v>
      </c>
      <c r="T840" s="183"/>
    </row>
    <row r="841" spans="1:20" ht="11.25">
      <c r="A841" s="175" t="s">
        <v>282</v>
      </c>
      <c r="B841" s="175">
        <v>16</v>
      </c>
      <c r="C841" s="176" t="s">
        <v>469</v>
      </c>
      <c r="D841" s="176" t="s">
        <v>328</v>
      </c>
      <c r="E841" s="176" t="s">
        <v>329</v>
      </c>
      <c r="F841" s="176"/>
      <c r="G841" s="176" t="s">
        <v>324</v>
      </c>
      <c r="H841" s="178" t="s">
        <v>325</v>
      </c>
      <c r="I841" s="175" t="s">
        <v>231</v>
      </c>
      <c r="J841" s="179" t="s">
        <v>352</v>
      </c>
      <c r="K841" s="179"/>
      <c r="L841" s="176" t="s">
        <v>393</v>
      </c>
      <c r="M841" s="180">
        <f t="shared" si="52"/>
        <v>148450.56206605615</v>
      </c>
      <c r="N841" s="181">
        <v>0</v>
      </c>
      <c r="O841" s="181">
        <v>0</v>
      </c>
      <c r="P841" s="181">
        <v>0</v>
      </c>
      <c r="Q841" s="181">
        <v>0</v>
      </c>
      <c r="R841" s="181">
        <v>0</v>
      </c>
      <c r="S841" s="182">
        <f t="shared" si="50"/>
        <v>148450.56206605615</v>
      </c>
      <c r="T841" s="183"/>
    </row>
    <row r="842" spans="1:20" ht="11.25">
      <c r="A842" s="175" t="s">
        <v>283</v>
      </c>
      <c r="B842" s="175">
        <v>17</v>
      </c>
      <c r="C842" s="176" t="s">
        <v>469</v>
      </c>
      <c r="D842" s="176" t="s">
        <v>328</v>
      </c>
      <c r="E842" s="176" t="s">
        <v>329</v>
      </c>
      <c r="F842" s="176"/>
      <c r="G842" s="176" t="s">
        <v>324</v>
      </c>
      <c r="H842" s="178" t="s">
        <v>325</v>
      </c>
      <c r="I842" s="175" t="s">
        <v>231</v>
      </c>
      <c r="J842" s="179" t="s">
        <v>352</v>
      </c>
      <c r="K842" s="179"/>
      <c r="L842" s="176" t="s">
        <v>393</v>
      </c>
      <c r="M842" s="180">
        <f t="shared" si="52"/>
        <v>152161.82611770753</v>
      </c>
      <c r="N842" s="181">
        <v>0</v>
      </c>
      <c r="O842" s="181">
        <v>0</v>
      </c>
      <c r="P842" s="181">
        <v>0</v>
      </c>
      <c r="Q842" s="181">
        <v>0</v>
      </c>
      <c r="R842" s="181">
        <v>0</v>
      </c>
      <c r="S842" s="182">
        <f t="shared" si="50"/>
        <v>152161.82611770753</v>
      </c>
      <c r="T842" s="183"/>
    </row>
    <row r="843" spans="1:20" ht="11.25">
      <c r="A843" s="175" t="s">
        <v>284</v>
      </c>
      <c r="B843" s="175">
        <v>18</v>
      </c>
      <c r="C843" s="176" t="s">
        <v>469</v>
      </c>
      <c r="D843" s="176" t="s">
        <v>328</v>
      </c>
      <c r="E843" s="176" t="s">
        <v>329</v>
      </c>
      <c r="F843" s="176"/>
      <c r="G843" s="176" t="s">
        <v>324</v>
      </c>
      <c r="H843" s="178" t="s">
        <v>325</v>
      </c>
      <c r="I843" s="175" t="s">
        <v>231</v>
      </c>
      <c r="J843" s="179" t="s">
        <v>352</v>
      </c>
      <c r="K843" s="179"/>
      <c r="L843" s="176" t="s">
        <v>393</v>
      </c>
      <c r="M843" s="180">
        <f t="shared" si="52"/>
        <v>155965.8717706502</v>
      </c>
      <c r="N843" s="181">
        <v>0</v>
      </c>
      <c r="O843" s="181">
        <v>0</v>
      </c>
      <c r="P843" s="181">
        <v>0</v>
      </c>
      <c r="Q843" s="181">
        <v>0</v>
      </c>
      <c r="R843" s="181">
        <v>0</v>
      </c>
      <c r="S843" s="182">
        <f t="shared" si="50"/>
        <v>155965.8717706502</v>
      </c>
      <c r="T843" s="183"/>
    </row>
    <row r="844" spans="1:20" ht="11.25">
      <c r="A844" s="175" t="s">
        <v>285</v>
      </c>
      <c r="B844" s="175">
        <v>19</v>
      </c>
      <c r="C844" s="176" t="s">
        <v>469</v>
      </c>
      <c r="D844" s="176" t="s">
        <v>328</v>
      </c>
      <c r="E844" s="176" t="s">
        <v>329</v>
      </c>
      <c r="F844" s="176"/>
      <c r="G844" s="176" t="s">
        <v>324</v>
      </c>
      <c r="H844" s="178" t="s">
        <v>325</v>
      </c>
      <c r="I844" s="175" t="s">
        <v>231</v>
      </c>
      <c r="J844" s="179" t="s">
        <v>352</v>
      </c>
      <c r="K844" s="179"/>
      <c r="L844" s="176" t="s">
        <v>393</v>
      </c>
      <c r="M844" s="180">
        <f t="shared" si="52"/>
        <v>159865.01856491645</v>
      </c>
      <c r="N844" s="181">
        <v>0</v>
      </c>
      <c r="O844" s="181">
        <v>0</v>
      </c>
      <c r="P844" s="181">
        <v>0</v>
      </c>
      <c r="Q844" s="181">
        <v>0</v>
      </c>
      <c r="R844" s="181">
        <v>0</v>
      </c>
      <c r="S844" s="182">
        <f t="shared" si="50"/>
        <v>159865.01856491645</v>
      </c>
      <c r="T844" s="183"/>
    </row>
    <row r="845" spans="1:20" ht="11.25">
      <c r="A845" s="175" t="s">
        <v>303</v>
      </c>
      <c r="B845" s="175">
        <v>20</v>
      </c>
      <c r="C845" s="176" t="s">
        <v>469</v>
      </c>
      <c r="D845" s="176" t="s">
        <v>328</v>
      </c>
      <c r="E845" s="176" t="s">
        <v>329</v>
      </c>
      <c r="F845" s="176"/>
      <c r="G845" s="176" t="s">
        <v>324</v>
      </c>
      <c r="H845" s="178" t="s">
        <v>325</v>
      </c>
      <c r="I845" s="175" t="s">
        <v>231</v>
      </c>
      <c r="J845" s="179" t="s">
        <v>352</v>
      </c>
      <c r="K845" s="179"/>
      <c r="L845" s="176" t="s">
        <v>393</v>
      </c>
      <c r="M845" s="180">
        <f t="shared" si="52"/>
        <v>163861.64402903934</v>
      </c>
      <c r="N845" s="181">
        <v>0</v>
      </c>
      <c r="O845" s="181">
        <v>0</v>
      </c>
      <c r="P845" s="181">
        <v>0</v>
      </c>
      <c r="Q845" s="181">
        <v>0</v>
      </c>
      <c r="R845" s="181">
        <v>0</v>
      </c>
      <c r="S845" s="182">
        <f t="shared" si="50"/>
        <v>163861.64402903934</v>
      </c>
      <c r="T845" s="183"/>
    </row>
    <row r="846" spans="1:20" ht="11.25">
      <c r="A846" s="175" t="s">
        <v>265</v>
      </c>
      <c r="B846" s="175">
        <v>0</v>
      </c>
      <c r="C846" s="176" t="s">
        <v>469</v>
      </c>
      <c r="D846" s="176" t="s">
        <v>394</v>
      </c>
      <c r="E846" s="176" t="s">
        <v>338</v>
      </c>
      <c r="F846" s="176"/>
      <c r="G846" s="176" t="s">
        <v>334</v>
      </c>
      <c r="H846" s="178" t="s">
        <v>325</v>
      </c>
      <c r="I846" s="175" t="s">
        <v>231</v>
      </c>
      <c r="J846" s="179" t="s">
        <v>326</v>
      </c>
      <c r="K846" s="179"/>
      <c r="L846" s="176" t="s">
        <v>395</v>
      </c>
      <c r="M846" s="180">
        <v>11897600</v>
      </c>
      <c r="N846" s="181">
        <v>0</v>
      </c>
      <c r="O846" s="181">
        <v>0</v>
      </c>
      <c r="P846" s="181">
        <v>0</v>
      </c>
      <c r="Q846" s="181">
        <f aca="true" t="shared" si="53" ref="Q846:Q866">M846</f>
        <v>11897600</v>
      </c>
      <c r="R846" s="181">
        <v>0</v>
      </c>
      <c r="S846" s="182">
        <f t="shared" si="50"/>
        <v>0</v>
      </c>
      <c r="T846" s="183"/>
    </row>
    <row r="847" spans="1:20" ht="11.25">
      <c r="A847" s="175" t="s">
        <v>267</v>
      </c>
      <c r="B847" s="175">
        <v>1</v>
      </c>
      <c r="C847" s="176" t="s">
        <v>469</v>
      </c>
      <c r="D847" s="176" t="s">
        <v>394</v>
      </c>
      <c r="E847" s="176" t="s">
        <v>338</v>
      </c>
      <c r="F847" s="176"/>
      <c r="G847" s="176" t="s">
        <v>334</v>
      </c>
      <c r="H847" s="178" t="s">
        <v>325</v>
      </c>
      <c r="I847" s="175" t="s">
        <v>231</v>
      </c>
      <c r="J847" s="179" t="s">
        <v>231</v>
      </c>
      <c r="K847" s="179"/>
      <c r="L847" s="176" t="s">
        <v>395</v>
      </c>
      <c r="M847" s="180">
        <f>IF(J847="Y",M846*(1+$F$4),IF(J847="I",M846*(1+$E$4),M846))</f>
        <v>12373504</v>
      </c>
      <c r="N847" s="181">
        <v>0</v>
      </c>
      <c r="O847" s="181">
        <v>0</v>
      </c>
      <c r="P847" s="181">
        <v>0</v>
      </c>
      <c r="Q847" s="181">
        <f t="shared" si="53"/>
        <v>12373504</v>
      </c>
      <c r="R847" s="181">
        <v>0</v>
      </c>
      <c r="S847" s="182">
        <f t="shared" si="50"/>
        <v>0</v>
      </c>
      <c r="T847" s="183"/>
    </row>
    <row r="848" spans="1:20" ht="11.25">
      <c r="A848" s="175" t="s">
        <v>268</v>
      </c>
      <c r="B848" s="175">
        <v>2</v>
      </c>
      <c r="C848" s="176" t="s">
        <v>469</v>
      </c>
      <c r="D848" s="176" t="s">
        <v>394</v>
      </c>
      <c r="E848" s="176" t="s">
        <v>338</v>
      </c>
      <c r="F848" s="176"/>
      <c r="G848" s="176" t="s">
        <v>334</v>
      </c>
      <c r="H848" s="178" t="s">
        <v>325</v>
      </c>
      <c r="I848" s="175" t="s">
        <v>231</v>
      </c>
      <c r="J848" s="179" t="s">
        <v>231</v>
      </c>
      <c r="K848" s="179"/>
      <c r="L848" s="176" t="s">
        <v>395</v>
      </c>
      <c r="M848" s="180">
        <f aca="true" t="shared" si="54" ref="M848:M866">IF(J848="Y",M847*(1+$C$4),IF(J848="I",M847*(1+$E$4),M847))</f>
        <v>12868444.16</v>
      </c>
      <c r="N848" s="181">
        <v>0</v>
      </c>
      <c r="O848" s="181">
        <v>0</v>
      </c>
      <c r="P848" s="181">
        <v>0</v>
      </c>
      <c r="Q848" s="181">
        <f t="shared" si="53"/>
        <v>12868444.16</v>
      </c>
      <c r="R848" s="181">
        <v>0</v>
      </c>
      <c r="S848" s="182">
        <f t="shared" si="50"/>
        <v>0</v>
      </c>
      <c r="T848" s="183"/>
    </row>
    <row r="849" spans="1:20" ht="11.25">
      <c r="A849" s="175" t="s">
        <v>269</v>
      </c>
      <c r="B849" s="175">
        <v>3</v>
      </c>
      <c r="C849" s="176" t="s">
        <v>469</v>
      </c>
      <c r="D849" s="176" t="s">
        <v>394</v>
      </c>
      <c r="E849" s="176" t="s">
        <v>338</v>
      </c>
      <c r="F849" s="176"/>
      <c r="G849" s="176" t="s">
        <v>334</v>
      </c>
      <c r="H849" s="178" t="s">
        <v>325</v>
      </c>
      <c r="I849" s="175" t="s">
        <v>231</v>
      </c>
      <c r="J849" s="179" t="s">
        <v>231</v>
      </c>
      <c r="K849" s="179"/>
      <c r="L849" s="176" t="s">
        <v>395</v>
      </c>
      <c r="M849" s="180">
        <f t="shared" si="54"/>
        <v>13383181.9264</v>
      </c>
      <c r="N849" s="181">
        <v>0</v>
      </c>
      <c r="O849" s="181">
        <v>0</v>
      </c>
      <c r="P849" s="181">
        <v>0</v>
      </c>
      <c r="Q849" s="181">
        <f t="shared" si="53"/>
        <v>13383181.9264</v>
      </c>
      <c r="R849" s="181">
        <v>0</v>
      </c>
      <c r="S849" s="182">
        <f t="shared" si="50"/>
        <v>0</v>
      </c>
      <c r="T849" s="183"/>
    </row>
    <row r="850" spans="1:20" ht="11.25">
      <c r="A850" s="175" t="s">
        <v>270</v>
      </c>
      <c r="B850" s="175">
        <v>4</v>
      </c>
      <c r="C850" s="176" t="s">
        <v>469</v>
      </c>
      <c r="D850" s="176" t="s">
        <v>394</v>
      </c>
      <c r="E850" s="176" t="s">
        <v>338</v>
      </c>
      <c r="F850" s="176"/>
      <c r="G850" s="176" t="s">
        <v>334</v>
      </c>
      <c r="H850" s="178" t="s">
        <v>325</v>
      </c>
      <c r="I850" s="175" t="s">
        <v>231</v>
      </c>
      <c r="J850" s="179" t="s">
        <v>231</v>
      </c>
      <c r="K850" s="179"/>
      <c r="L850" s="176" t="s">
        <v>395</v>
      </c>
      <c r="M850" s="180">
        <f t="shared" si="54"/>
        <v>13918509.203456001</v>
      </c>
      <c r="N850" s="181">
        <v>0</v>
      </c>
      <c r="O850" s="181">
        <v>0</v>
      </c>
      <c r="P850" s="181">
        <v>0</v>
      </c>
      <c r="Q850" s="181">
        <f t="shared" si="53"/>
        <v>13918509.203456001</v>
      </c>
      <c r="R850" s="181">
        <v>0</v>
      </c>
      <c r="S850" s="182">
        <f t="shared" si="50"/>
        <v>0</v>
      </c>
      <c r="T850" s="183"/>
    </row>
    <row r="851" spans="1:20" ht="11.25">
      <c r="A851" s="175" t="s">
        <v>271</v>
      </c>
      <c r="B851" s="175">
        <v>5</v>
      </c>
      <c r="C851" s="176" t="s">
        <v>469</v>
      </c>
      <c r="D851" s="176" t="s">
        <v>394</v>
      </c>
      <c r="E851" s="176" t="s">
        <v>338</v>
      </c>
      <c r="F851" s="176"/>
      <c r="G851" s="176" t="s">
        <v>334</v>
      </c>
      <c r="H851" s="178" t="s">
        <v>325</v>
      </c>
      <c r="I851" s="175" t="s">
        <v>231</v>
      </c>
      <c r="J851" s="179" t="s">
        <v>231</v>
      </c>
      <c r="K851" s="179"/>
      <c r="L851" s="176" t="s">
        <v>395</v>
      </c>
      <c r="M851" s="180">
        <f t="shared" si="54"/>
        <v>14475249.571594242</v>
      </c>
      <c r="N851" s="181">
        <v>0</v>
      </c>
      <c r="O851" s="181">
        <v>0</v>
      </c>
      <c r="P851" s="181">
        <v>0</v>
      </c>
      <c r="Q851" s="181">
        <f t="shared" si="53"/>
        <v>14475249.571594242</v>
      </c>
      <c r="R851" s="181">
        <v>0</v>
      </c>
      <c r="S851" s="182">
        <f t="shared" si="50"/>
        <v>0</v>
      </c>
      <c r="T851" s="183"/>
    </row>
    <row r="852" spans="1:20" ht="11.25">
      <c r="A852" s="175" t="s">
        <v>272</v>
      </c>
      <c r="B852" s="175">
        <v>6</v>
      </c>
      <c r="C852" s="176" t="s">
        <v>469</v>
      </c>
      <c r="D852" s="176" t="s">
        <v>394</v>
      </c>
      <c r="E852" s="176" t="s">
        <v>338</v>
      </c>
      <c r="F852" s="176"/>
      <c r="G852" s="176" t="s">
        <v>334</v>
      </c>
      <c r="H852" s="178" t="s">
        <v>325</v>
      </c>
      <c r="I852" s="175" t="s">
        <v>231</v>
      </c>
      <c r="J852" s="179" t="s">
        <v>231</v>
      </c>
      <c r="K852" s="179"/>
      <c r="L852" s="176" t="s">
        <v>395</v>
      </c>
      <c r="M852" s="180">
        <f t="shared" si="54"/>
        <v>15054259.554458013</v>
      </c>
      <c r="N852" s="181">
        <v>0</v>
      </c>
      <c r="O852" s="181">
        <v>0</v>
      </c>
      <c r="P852" s="181">
        <v>0</v>
      </c>
      <c r="Q852" s="181">
        <f t="shared" si="53"/>
        <v>15054259.554458013</v>
      </c>
      <c r="R852" s="181">
        <v>0</v>
      </c>
      <c r="S852" s="182">
        <f t="shared" si="50"/>
        <v>0</v>
      </c>
      <c r="T852" s="183"/>
    </row>
    <row r="853" spans="1:20" ht="11.25">
      <c r="A853" s="175" t="s">
        <v>273</v>
      </c>
      <c r="B853" s="175">
        <v>7</v>
      </c>
      <c r="C853" s="176" t="s">
        <v>469</v>
      </c>
      <c r="D853" s="176" t="s">
        <v>394</v>
      </c>
      <c r="E853" s="176" t="s">
        <v>338</v>
      </c>
      <c r="F853" s="176"/>
      <c r="G853" s="176" t="s">
        <v>334</v>
      </c>
      <c r="H853" s="178" t="s">
        <v>325</v>
      </c>
      <c r="I853" s="175" t="s">
        <v>231</v>
      </c>
      <c r="J853" s="179" t="s">
        <v>231</v>
      </c>
      <c r="K853" s="179"/>
      <c r="L853" s="176" t="s">
        <v>395</v>
      </c>
      <c r="M853" s="180">
        <f t="shared" si="54"/>
        <v>15656429.936636334</v>
      </c>
      <c r="N853" s="181">
        <v>0</v>
      </c>
      <c r="O853" s="181">
        <v>0</v>
      </c>
      <c r="P853" s="181">
        <v>0</v>
      </c>
      <c r="Q853" s="181">
        <f t="shared" si="53"/>
        <v>15656429.936636334</v>
      </c>
      <c r="R853" s="181">
        <v>0</v>
      </c>
      <c r="S853" s="182">
        <f t="shared" si="50"/>
        <v>0</v>
      </c>
      <c r="T853" s="183"/>
    </row>
    <row r="854" spans="1:20" ht="11.25">
      <c r="A854" s="175" t="s">
        <v>274</v>
      </c>
      <c r="B854" s="175">
        <v>8</v>
      </c>
      <c r="C854" s="176" t="s">
        <v>469</v>
      </c>
      <c r="D854" s="176" t="s">
        <v>394</v>
      </c>
      <c r="E854" s="176" t="s">
        <v>338</v>
      </c>
      <c r="F854" s="176"/>
      <c r="G854" s="176" t="s">
        <v>334</v>
      </c>
      <c r="H854" s="178" t="s">
        <v>325</v>
      </c>
      <c r="I854" s="175" t="s">
        <v>231</v>
      </c>
      <c r="J854" s="179" t="s">
        <v>231</v>
      </c>
      <c r="K854" s="179"/>
      <c r="L854" s="176" t="s">
        <v>395</v>
      </c>
      <c r="M854" s="180">
        <f t="shared" si="54"/>
        <v>16282687.134101788</v>
      </c>
      <c r="N854" s="181">
        <v>0</v>
      </c>
      <c r="O854" s="181">
        <v>0</v>
      </c>
      <c r="P854" s="181">
        <v>0</v>
      </c>
      <c r="Q854" s="181">
        <f t="shared" si="53"/>
        <v>16282687.134101788</v>
      </c>
      <c r="R854" s="181">
        <v>0</v>
      </c>
      <c r="S854" s="182">
        <f t="shared" si="50"/>
        <v>0</v>
      </c>
      <c r="T854" s="183"/>
    </row>
    <row r="855" spans="1:20" ht="11.25">
      <c r="A855" s="175" t="s">
        <v>275</v>
      </c>
      <c r="B855" s="175">
        <v>9</v>
      </c>
      <c r="C855" s="176" t="s">
        <v>469</v>
      </c>
      <c r="D855" s="176" t="s">
        <v>394</v>
      </c>
      <c r="E855" s="176" t="s">
        <v>338</v>
      </c>
      <c r="F855" s="176"/>
      <c r="G855" s="176" t="s">
        <v>334</v>
      </c>
      <c r="H855" s="178" t="s">
        <v>325</v>
      </c>
      <c r="I855" s="175" t="s">
        <v>231</v>
      </c>
      <c r="J855" s="179" t="s">
        <v>231</v>
      </c>
      <c r="K855" s="179"/>
      <c r="L855" s="176" t="s">
        <v>395</v>
      </c>
      <c r="M855" s="180">
        <f t="shared" si="54"/>
        <v>16933994.61946586</v>
      </c>
      <c r="N855" s="181">
        <v>0</v>
      </c>
      <c r="O855" s="181">
        <v>0</v>
      </c>
      <c r="P855" s="181">
        <v>0</v>
      </c>
      <c r="Q855" s="181">
        <f t="shared" si="53"/>
        <v>16933994.61946586</v>
      </c>
      <c r="R855" s="181">
        <v>0</v>
      </c>
      <c r="S855" s="182">
        <f t="shared" si="50"/>
        <v>0</v>
      </c>
      <c r="T855" s="183"/>
    </row>
    <row r="856" spans="1:20" ht="11.25">
      <c r="A856" s="175" t="s">
        <v>276</v>
      </c>
      <c r="B856" s="175">
        <v>10</v>
      </c>
      <c r="C856" s="176" t="s">
        <v>469</v>
      </c>
      <c r="D856" s="176" t="s">
        <v>394</v>
      </c>
      <c r="E856" s="176" t="s">
        <v>338</v>
      </c>
      <c r="F856" s="176"/>
      <c r="G856" s="176" t="s">
        <v>334</v>
      </c>
      <c r="H856" s="178" t="s">
        <v>325</v>
      </c>
      <c r="I856" s="175" t="s">
        <v>231</v>
      </c>
      <c r="J856" s="179" t="s">
        <v>231</v>
      </c>
      <c r="K856" s="179"/>
      <c r="L856" s="176" t="s">
        <v>395</v>
      </c>
      <c r="M856" s="180">
        <f t="shared" si="54"/>
        <v>17611354.404244497</v>
      </c>
      <c r="N856" s="181">
        <v>0</v>
      </c>
      <c r="O856" s="181">
        <v>0</v>
      </c>
      <c r="P856" s="181">
        <v>0</v>
      </c>
      <c r="Q856" s="181">
        <f t="shared" si="53"/>
        <v>17611354.404244497</v>
      </c>
      <c r="R856" s="181">
        <v>0</v>
      </c>
      <c r="S856" s="182">
        <f t="shared" si="50"/>
        <v>0</v>
      </c>
      <c r="T856" s="183"/>
    </row>
    <row r="857" spans="1:20" ht="11.25">
      <c r="A857" s="175" t="s">
        <v>277</v>
      </c>
      <c r="B857" s="175">
        <v>11</v>
      </c>
      <c r="C857" s="176" t="s">
        <v>469</v>
      </c>
      <c r="D857" s="176" t="s">
        <v>394</v>
      </c>
      <c r="E857" s="176" t="s">
        <v>338</v>
      </c>
      <c r="F857" s="176"/>
      <c r="G857" s="176" t="s">
        <v>334</v>
      </c>
      <c r="H857" s="178" t="s">
        <v>325</v>
      </c>
      <c r="I857" s="175" t="s">
        <v>231</v>
      </c>
      <c r="J857" s="179" t="s">
        <v>231</v>
      </c>
      <c r="K857" s="179"/>
      <c r="L857" s="176" t="s">
        <v>395</v>
      </c>
      <c r="M857" s="180">
        <f t="shared" si="54"/>
        <v>18315808.580414277</v>
      </c>
      <c r="N857" s="181">
        <v>0</v>
      </c>
      <c r="O857" s="181">
        <v>0</v>
      </c>
      <c r="P857" s="181">
        <v>0</v>
      </c>
      <c r="Q857" s="181">
        <f t="shared" si="53"/>
        <v>18315808.580414277</v>
      </c>
      <c r="R857" s="181">
        <v>0</v>
      </c>
      <c r="S857" s="182">
        <f t="shared" si="50"/>
        <v>0</v>
      </c>
      <c r="T857" s="183"/>
    </row>
    <row r="858" spans="1:20" ht="11.25">
      <c r="A858" s="175" t="s">
        <v>278</v>
      </c>
      <c r="B858" s="175">
        <v>12</v>
      </c>
      <c r="C858" s="176" t="s">
        <v>469</v>
      </c>
      <c r="D858" s="176" t="s">
        <v>394</v>
      </c>
      <c r="E858" s="176" t="s">
        <v>338</v>
      </c>
      <c r="F858" s="176"/>
      <c r="G858" s="176" t="s">
        <v>334</v>
      </c>
      <c r="H858" s="178" t="s">
        <v>325</v>
      </c>
      <c r="I858" s="175" t="s">
        <v>231</v>
      </c>
      <c r="J858" s="179" t="s">
        <v>231</v>
      </c>
      <c r="K858" s="179"/>
      <c r="L858" s="176" t="s">
        <v>395</v>
      </c>
      <c r="M858" s="180">
        <f t="shared" si="54"/>
        <v>19048440.92363085</v>
      </c>
      <c r="N858" s="181">
        <v>0</v>
      </c>
      <c r="O858" s="181">
        <v>0</v>
      </c>
      <c r="P858" s="181">
        <v>0</v>
      </c>
      <c r="Q858" s="181">
        <f t="shared" si="53"/>
        <v>19048440.92363085</v>
      </c>
      <c r="R858" s="181">
        <v>0</v>
      </c>
      <c r="S858" s="182">
        <f t="shared" si="50"/>
        <v>0</v>
      </c>
      <c r="T858" s="183"/>
    </row>
    <row r="859" spans="1:20" ht="11.25">
      <c r="A859" s="175" t="s">
        <v>279</v>
      </c>
      <c r="B859" s="175">
        <v>13</v>
      </c>
      <c r="C859" s="176" t="s">
        <v>469</v>
      </c>
      <c r="D859" s="176" t="s">
        <v>394</v>
      </c>
      <c r="E859" s="176" t="s">
        <v>338</v>
      </c>
      <c r="F859" s="176"/>
      <c r="G859" s="176" t="s">
        <v>334</v>
      </c>
      <c r="H859" s="178" t="s">
        <v>325</v>
      </c>
      <c r="I859" s="175" t="s">
        <v>231</v>
      </c>
      <c r="J859" s="179" t="s">
        <v>231</v>
      </c>
      <c r="K859" s="179"/>
      <c r="L859" s="176" t="s">
        <v>395</v>
      </c>
      <c r="M859" s="180">
        <f t="shared" si="54"/>
        <v>19810378.560576085</v>
      </c>
      <c r="N859" s="181">
        <v>0</v>
      </c>
      <c r="O859" s="181">
        <v>0</v>
      </c>
      <c r="P859" s="181">
        <v>0</v>
      </c>
      <c r="Q859" s="181">
        <f t="shared" si="53"/>
        <v>19810378.560576085</v>
      </c>
      <c r="R859" s="181">
        <v>0</v>
      </c>
      <c r="S859" s="182">
        <f aca="true" t="shared" si="55" ref="S859:S963">M859-SUM(N859:R859)</f>
        <v>0</v>
      </c>
      <c r="T859" s="183"/>
    </row>
    <row r="860" spans="1:20" ht="11.25">
      <c r="A860" s="175" t="s">
        <v>280</v>
      </c>
      <c r="B860" s="175">
        <v>14</v>
      </c>
      <c r="C860" s="176" t="s">
        <v>469</v>
      </c>
      <c r="D860" s="176" t="s">
        <v>394</v>
      </c>
      <c r="E860" s="176" t="s">
        <v>338</v>
      </c>
      <c r="F860" s="176"/>
      <c r="G860" s="176" t="s">
        <v>334</v>
      </c>
      <c r="H860" s="178" t="s">
        <v>325</v>
      </c>
      <c r="I860" s="175" t="s">
        <v>231</v>
      </c>
      <c r="J860" s="179" t="s">
        <v>231</v>
      </c>
      <c r="K860" s="179"/>
      <c r="L860" s="176" t="s">
        <v>395</v>
      </c>
      <c r="M860" s="180">
        <f t="shared" si="54"/>
        <v>20602793.70299913</v>
      </c>
      <c r="N860" s="181">
        <v>0</v>
      </c>
      <c r="O860" s="181">
        <v>0</v>
      </c>
      <c r="P860" s="181">
        <v>0</v>
      </c>
      <c r="Q860" s="181">
        <f t="shared" si="53"/>
        <v>20602793.70299913</v>
      </c>
      <c r="R860" s="181">
        <v>0</v>
      </c>
      <c r="S860" s="182">
        <f t="shared" si="55"/>
        <v>0</v>
      </c>
      <c r="T860" s="183"/>
    </row>
    <row r="861" spans="1:20" ht="11.25">
      <c r="A861" s="175" t="s">
        <v>281</v>
      </c>
      <c r="B861" s="175">
        <v>15</v>
      </c>
      <c r="C861" s="176" t="s">
        <v>469</v>
      </c>
      <c r="D861" s="176" t="s">
        <v>394</v>
      </c>
      <c r="E861" s="176" t="s">
        <v>338</v>
      </c>
      <c r="F861" s="176"/>
      <c r="G861" s="176" t="s">
        <v>334</v>
      </c>
      <c r="H861" s="178" t="s">
        <v>325</v>
      </c>
      <c r="I861" s="175" t="s">
        <v>231</v>
      </c>
      <c r="J861" s="179" t="s">
        <v>231</v>
      </c>
      <c r="K861" s="179"/>
      <c r="L861" s="176" t="s">
        <v>395</v>
      </c>
      <c r="M861" s="180">
        <f t="shared" si="54"/>
        <v>21426905.451119095</v>
      </c>
      <c r="N861" s="181">
        <v>0</v>
      </c>
      <c r="O861" s="181">
        <v>0</v>
      </c>
      <c r="P861" s="181">
        <v>0</v>
      </c>
      <c r="Q861" s="181">
        <f t="shared" si="53"/>
        <v>21426905.451119095</v>
      </c>
      <c r="R861" s="181">
        <v>0</v>
      </c>
      <c r="S861" s="182">
        <f t="shared" si="55"/>
        <v>0</v>
      </c>
      <c r="T861" s="183"/>
    </row>
    <row r="862" spans="1:20" ht="11.25">
      <c r="A862" s="175" t="s">
        <v>282</v>
      </c>
      <c r="B862" s="175">
        <v>16</v>
      </c>
      <c r="C862" s="176" t="s">
        <v>469</v>
      </c>
      <c r="D862" s="176" t="s">
        <v>394</v>
      </c>
      <c r="E862" s="176" t="s">
        <v>338</v>
      </c>
      <c r="F862" s="176"/>
      <c r="G862" s="176" t="s">
        <v>334</v>
      </c>
      <c r="H862" s="178" t="s">
        <v>325</v>
      </c>
      <c r="I862" s="175" t="s">
        <v>231</v>
      </c>
      <c r="J862" s="179" t="s">
        <v>231</v>
      </c>
      <c r="K862" s="179"/>
      <c r="L862" s="176" t="s">
        <v>395</v>
      </c>
      <c r="M862" s="180">
        <f t="shared" si="54"/>
        <v>22283981.66916386</v>
      </c>
      <c r="N862" s="181">
        <v>0</v>
      </c>
      <c r="O862" s="181">
        <v>0</v>
      </c>
      <c r="P862" s="181">
        <v>0</v>
      </c>
      <c r="Q862" s="181">
        <f t="shared" si="53"/>
        <v>22283981.66916386</v>
      </c>
      <c r="R862" s="181">
        <v>0</v>
      </c>
      <c r="S862" s="182">
        <f t="shared" si="55"/>
        <v>0</v>
      </c>
      <c r="T862" s="183"/>
    </row>
    <row r="863" spans="1:20" ht="11.25">
      <c r="A863" s="175" t="s">
        <v>283</v>
      </c>
      <c r="B863" s="175">
        <v>17</v>
      </c>
      <c r="C863" s="176" t="s">
        <v>469</v>
      </c>
      <c r="D863" s="176" t="s">
        <v>394</v>
      </c>
      <c r="E863" s="176" t="s">
        <v>338</v>
      </c>
      <c r="F863" s="176"/>
      <c r="G863" s="176" t="s">
        <v>334</v>
      </c>
      <c r="H863" s="178" t="s">
        <v>325</v>
      </c>
      <c r="I863" s="175" t="s">
        <v>231</v>
      </c>
      <c r="J863" s="179" t="s">
        <v>231</v>
      </c>
      <c r="K863" s="179"/>
      <c r="L863" s="176" t="s">
        <v>395</v>
      </c>
      <c r="M863" s="180">
        <f t="shared" si="54"/>
        <v>23175340.935930416</v>
      </c>
      <c r="N863" s="181">
        <v>0</v>
      </c>
      <c r="O863" s="181">
        <v>0</v>
      </c>
      <c r="P863" s="181">
        <v>0</v>
      </c>
      <c r="Q863" s="181">
        <f t="shared" si="53"/>
        <v>23175340.935930416</v>
      </c>
      <c r="R863" s="181">
        <v>0</v>
      </c>
      <c r="S863" s="182">
        <f t="shared" si="55"/>
        <v>0</v>
      </c>
      <c r="T863" s="183"/>
    </row>
    <row r="864" spans="1:20" ht="11.25">
      <c r="A864" s="175" t="s">
        <v>284</v>
      </c>
      <c r="B864" s="175">
        <v>18</v>
      </c>
      <c r="C864" s="176" t="s">
        <v>469</v>
      </c>
      <c r="D864" s="176" t="s">
        <v>394</v>
      </c>
      <c r="E864" s="176" t="s">
        <v>338</v>
      </c>
      <c r="F864" s="176"/>
      <c r="G864" s="176" t="s">
        <v>334</v>
      </c>
      <c r="H864" s="178" t="s">
        <v>325</v>
      </c>
      <c r="I864" s="175" t="s">
        <v>231</v>
      </c>
      <c r="J864" s="179" t="s">
        <v>231</v>
      </c>
      <c r="K864" s="179"/>
      <c r="L864" s="176" t="s">
        <v>395</v>
      </c>
      <c r="M864" s="180">
        <f t="shared" si="54"/>
        <v>24102354.573367633</v>
      </c>
      <c r="N864" s="181">
        <v>0</v>
      </c>
      <c r="O864" s="181">
        <v>0</v>
      </c>
      <c r="P864" s="181">
        <v>0</v>
      </c>
      <c r="Q864" s="181">
        <f t="shared" si="53"/>
        <v>24102354.573367633</v>
      </c>
      <c r="R864" s="181">
        <v>0</v>
      </c>
      <c r="S864" s="182">
        <f t="shared" si="55"/>
        <v>0</v>
      </c>
      <c r="T864" s="183"/>
    </row>
    <row r="865" spans="1:20" ht="11.25">
      <c r="A865" s="175" t="s">
        <v>285</v>
      </c>
      <c r="B865" s="175">
        <v>19</v>
      </c>
      <c r="C865" s="176" t="s">
        <v>469</v>
      </c>
      <c r="D865" s="176" t="s">
        <v>394</v>
      </c>
      <c r="E865" s="176" t="s">
        <v>338</v>
      </c>
      <c r="F865" s="176"/>
      <c r="G865" s="176" t="s">
        <v>334</v>
      </c>
      <c r="H865" s="178" t="s">
        <v>325</v>
      </c>
      <c r="I865" s="175" t="s">
        <v>231</v>
      </c>
      <c r="J865" s="179" t="s">
        <v>231</v>
      </c>
      <c r="K865" s="179"/>
      <c r="L865" s="176" t="s">
        <v>395</v>
      </c>
      <c r="M865" s="180">
        <f t="shared" si="54"/>
        <v>25066448.756302338</v>
      </c>
      <c r="N865" s="181">
        <v>0</v>
      </c>
      <c r="O865" s="181">
        <v>0</v>
      </c>
      <c r="P865" s="181">
        <v>0</v>
      </c>
      <c r="Q865" s="181">
        <f t="shared" si="53"/>
        <v>25066448.756302338</v>
      </c>
      <c r="R865" s="181">
        <v>0</v>
      </c>
      <c r="S865" s="182">
        <f t="shared" si="55"/>
        <v>0</v>
      </c>
      <c r="T865" s="183"/>
    </row>
    <row r="866" spans="1:20" ht="11.25">
      <c r="A866" s="175" t="s">
        <v>303</v>
      </c>
      <c r="B866" s="175">
        <v>20</v>
      </c>
      <c r="C866" s="176" t="s">
        <v>469</v>
      </c>
      <c r="D866" s="176" t="s">
        <v>394</v>
      </c>
      <c r="E866" s="176" t="s">
        <v>338</v>
      </c>
      <c r="F866" s="176"/>
      <c r="G866" s="176" t="s">
        <v>334</v>
      </c>
      <c r="H866" s="178" t="s">
        <v>325</v>
      </c>
      <c r="I866" s="175" t="s">
        <v>231</v>
      </c>
      <c r="J866" s="179" t="s">
        <v>231</v>
      </c>
      <c r="K866" s="179"/>
      <c r="L866" s="176" t="s">
        <v>395</v>
      </c>
      <c r="M866" s="180">
        <f t="shared" si="54"/>
        <v>26069106.70655443</v>
      </c>
      <c r="N866" s="181">
        <v>0</v>
      </c>
      <c r="O866" s="181">
        <v>0</v>
      </c>
      <c r="P866" s="181">
        <v>0</v>
      </c>
      <c r="Q866" s="181">
        <f t="shared" si="53"/>
        <v>26069106.70655443</v>
      </c>
      <c r="R866" s="181">
        <v>0</v>
      </c>
      <c r="S866" s="182">
        <f t="shared" si="55"/>
        <v>0</v>
      </c>
      <c r="T866" s="183"/>
    </row>
    <row r="867" spans="1:20" ht="11.25">
      <c r="A867" s="175" t="s">
        <v>265</v>
      </c>
      <c r="B867" s="175">
        <v>0</v>
      </c>
      <c r="C867" s="176" t="s">
        <v>355</v>
      </c>
      <c r="D867" s="176" t="s">
        <v>396</v>
      </c>
      <c r="E867" s="176" t="s">
        <v>397</v>
      </c>
      <c r="F867" s="176"/>
      <c r="G867" s="176" t="s">
        <v>334</v>
      </c>
      <c r="H867" s="178" t="s">
        <v>325</v>
      </c>
      <c r="I867" s="175" t="s">
        <v>326</v>
      </c>
      <c r="J867" s="179" t="s">
        <v>326</v>
      </c>
      <c r="K867" s="179"/>
      <c r="L867" s="176" t="s">
        <v>398</v>
      </c>
      <c r="M867" s="180">
        <v>2500</v>
      </c>
      <c r="N867" s="181">
        <v>0</v>
      </c>
      <c r="O867" s="181">
        <v>0</v>
      </c>
      <c r="P867" s="181">
        <v>0</v>
      </c>
      <c r="Q867" s="181">
        <v>0</v>
      </c>
      <c r="R867" s="181">
        <v>0</v>
      </c>
      <c r="S867" s="182">
        <f t="shared" si="55"/>
        <v>2500</v>
      </c>
      <c r="T867" s="183"/>
    </row>
    <row r="868" spans="1:20" ht="11.25">
      <c r="A868" s="175" t="s">
        <v>265</v>
      </c>
      <c r="B868" s="175">
        <v>0</v>
      </c>
      <c r="C868" s="176" t="s">
        <v>399</v>
      </c>
      <c r="D868" s="176" t="s">
        <v>400</v>
      </c>
      <c r="E868" s="176" t="s">
        <v>397</v>
      </c>
      <c r="F868" s="176"/>
      <c r="G868" s="176" t="s">
        <v>360</v>
      </c>
      <c r="H868" s="178" t="s">
        <v>325</v>
      </c>
      <c r="I868" s="175" t="s">
        <v>326</v>
      </c>
      <c r="J868" s="179" t="s">
        <v>326</v>
      </c>
      <c r="K868" s="179"/>
      <c r="L868" s="176" t="s">
        <v>401</v>
      </c>
      <c r="M868" s="180">
        <v>50000</v>
      </c>
      <c r="N868" s="181">
        <v>0</v>
      </c>
      <c r="O868" s="181">
        <v>0</v>
      </c>
      <c r="P868" s="181">
        <v>0</v>
      </c>
      <c r="Q868" s="181">
        <v>0</v>
      </c>
      <c r="R868" s="181">
        <v>0</v>
      </c>
      <c r="S868" s="182">
        <f t="shared" si="55"/>
        <v>50000</v>
      </c>
      <c r="T868" s="183"/>
    </row>
    <row r="869" spans="1:20" ht="11.25">
      <c r="A869" s="175" t="s">
        <v>265</v>
      </c>
      <c r="B869" s="175">
        <v>0</v>
      </c>
      <c r="C869" s="176" t="s">
        <v>355</v>
      </c>
      <c r="D869" s="176" t="s">
        <v>322</v>
      </c>
      <c r="E869" s="186" t="s">
        <v>375</v>
      </c>
      <c r="F869" s="186"/>
      <c r="G869" s="176" t="s">
        <v>324</v>
      </c>
      <c r="H869" s="178" t="s">
        <v>325</v>
      </c>
      <c r="I869" s="175" t="s">
        <v>326</v>
      </c>
      <c r="J869" s="179" t="s">
        <v>326</v>
      </c>
      <c r="K869" s="179"/>
      <c r="L869" s="176" t="s">
        <v>402</v>
      </c>
      <c r="M869" s="180">
        <v>250000</v>
      </c>
      <c r="N869" s="181">
        <v>0</v>
      </c>
      <c r="O869" s="181">
        <v>0</v>
      </c>
      <c r="P869" s="181">
        <v>0</v>
      </c>
      <c r="Q869" s="181">
        <v>0</v>
      </c>
      <c r="R869" s="181">
        <v>0</v>
      </c>
      <c r="S869" s="182">
        <f t="shared" si="55"/>
        <v>250000</v>
      </c>
      <c r="T869" s="183"/>
    </row>
    <row r="870" spans="1:20" ht="11.25">
      <c r="A870" s="175" t="s">
        <v>265</v>
      </c>
      <c r="B870" s="175">
        <v>0</v>
      </c>
      <c r="C870" s="176" t="s">
        <v>399</v>
      </c>
      <c r="D870" s="176" t="s">
        <v>400</v>
      </c>
      <c r="E870" s="176" t="s">
        <v>348</v>
      </c>
      <c r="F870" s="176"/>
      <c r="G870" s="176" t="s">
        <v>360</v>
      </c>
      <c r="H870" s="178" t="s">
        <v>325</v>
      </c>
      <c r="I870" s="175" t="s">
        <v>326</v>
      </c>
      <c r="J870" s="179" t="s">
        <v>326</v>
      </c>
      <c r="K870" s="179"/>
      <c r="L870" s="176" t="s">
        <v>403</v>
      </c>
      <c r="M870" s="180">
        <v>14000000</v>
      </c>
      <c r="N870" s="181">
        <v>9000000</v>
      </c>
      <c r="O870" s="181">
        <v>0</v>
      </c>
      <c r="P870" s="181">
        <v>0</v>
      </c>
      <c r="Q870" s="181">
        <v>0</v>
      </c>
      <c r="R870" s="181">
        <v>0</v>
      </c>
      <c r="S870" s="182">
        <f t="shared" si="55"/>
        <v>5000000</v>
      </c>
      <c r="T870" s="183"/>
    </row>
    <row r="871" spans="1:20" ht="11.25">
      <c r="A871" s="175" t="s">
        <v>265</v>
      </c>
      <c r="B871" s="175">
        <v>0</v>
      </c>
      <c r="C871" s="176" t="s">
        <v>399</v>
      </c>
      <c r="D871" s="176" t="s">
        <v>400</v>
      </c>
      <c r="E871" s="176" t="s">
        <v>338</v>
      </c>
      <c r="F871" s="176"/>
      <c r="G871" s="176" t="s">
        <v>334</v>
      </c>
      <c r="H871" s="178" t="s">
        <v>325</v>
      </c>
      <c r="I871" s="175" t="s">
        <v>326</v>
      </c>
      <c r="J871" s="179" t="s">
        <v>326</v>
      </c>
      <c r="K871" s="179"/>
      <c r="L871" s="176" t="s">
        <v>404</v>
      </c>
      <c r="M871" s="180">
        <v>5000000</v>
      </c>
      <c r="N871" s="181">
        <v>0</v>
      </c>
      <c r="O871" s="181">
        <v>0</v>
      </c>
      <c r="P871" s="181">
        <v>0</v>
      </c>
      <c r="Q871" s="181">
        <v>0</v>
      </c>
      <c r="R871" s="181">
        <v>0</v>
      </c>
      <c r="S871" s="182">
        <f t="shared" si="55"/>
        <v>5000000</v>
      </c>
      <c r="T871" s="183"/>
    </row>
    <row r="872" spans="1:20" ht="11.25">
      <c r="A872" s="175" t="s">
        <v>265</v>
      </c>
      <c r="B872" s="175">
        <v>0</v>
      </c>
      <c r="C872" s="176" t="s">
        <v>399</v>
      </c>
      <c r="D872" s="176" t="s">
        <v>400</v>
      </c>
      <c r="E872" s="176" t="s">
        <v>329</v>
      </c>
      <c r="F872" s="176"/>
      <c r="G872" s="176" t="s">
        <v>360</v>
      </c>
      <c r="H872" s="178" t="s">
        <v>325</v>
      </c>
      <c r="I872" s="175" t="s">
        <v>326</v>
      </c>
      <c r="J872" s="179" t="s">
        <v>326</v>
      </c>
      <c r="K872" s="179"/>
      <c r="L872" s="176" t="s">
        <v>405</v>
      </c>
      <c r="M872" s="180">
        <v>230000</v>
      </c>
      <c r="N872" s="181">
        <v>0</v>
      </c>
      <c r="O872" s="181">
        <v>0</v>
      </c>
      <c r="P872" s="181">
        <v>0</v>
      </c>
      <c r="Q872" s="181">
        <v>0</v>
      </c>
      <c r="R872" s="181">
        <v>0</v>
      </c>
      <c r="S872" s="182">
        <f t="shared" si="55"/>
        <v>230000</v>
      </c>
      <c r="T872" s="183"/>
    </row>
    <row r="873" spans="1:20" ht="11.25">
      <c r="A873" s="175" t="s">
        <v>265</v>
      </c>
      <c r="B873" s="175">
        <v>0</v>
      </c>
      <c r="C873" s="176" t="s">
        <v>355</v>
      </c>
      <c r="D873" s="176" t="s">
        <v>367</v>
      </c>
      <c r="E873" s="176" t="s">
        <v>397</v>
      </c>
      <c r="F873" s="176"/>
      <c r="G873" s="176" t="s">
        <v>324</v>
      </c>
      <c r="H873" s="178" t="s">
        <v>325</v>
      </c>
      <c r="I873" s="175" t="s">
        <v>326</v>
      </c>
      <c r="J873" s="179" t="s">
        <v>326</v>
      </c>
      <c r="K873" s="179"/>
      <c r="L873" s="176" t="s">
        <v>406</v>
      </c>
      <c r="M873" s="180">
        <v>6500</v>
      </c>
      <c r="N873" s="181">
        <v>0</v>
      </c>
      <c r="O873" s="181">
        <v>0</v>
      </c>
      <c r="P873" s="181">
        <v>0</v>
      </c>
      <c r="Q873" s="181">
        <v>0</v>
      </c>
      <c r="R873" s="181">
        <v>0</v>
      </c>
      <c r="S873" s="182">
        <f t="shared" si="55"/>
        <v>6500</v>
      </c>
      <c r="T873" s="183"/>
    </row>
    <row r="874" spans="1:20" ht="11.25">
      <c r="A874" s="175" t="s">
        <v>265</v>
      </c>
      <c r="B874" s="175">
        <v>0</v>
      </c>
      <c r="C874" s="176" t="s">
        <v>358</v>
      </c>
      <c r="D874" s="176" t="s">
        <v>396</v>
      </c>
      <c r="E874" s="176" t="s">
        <v>348</v>
      </c>
      <c r="F874" s="176"/>
      <c r="G874" s="176" t="s">
        <v>334</v>
      </c>
      <c r="H874" s="178" t="s">
        <v>325</v>
      </c>
      <c r="I874" s="175" t="s">
        <v>326</v>
      </c>
      <c r="J874" s="179" t="s">
        <v>326</v>
      </c>
      <c r="K874" s="179"/>
      <c r="L874" s="176" t="s">
        <v>407</v>
      </c>
      <c r="M874" s="180">
        <v>20000</v>
      </c>
      <c r="N874" s="181">
        <v>0</v>
      </c>
      <c r="O874" s="181">
        <v>0</v>
      </c>
      <c r="P874" s="181">
        <v>0</v>
      </c>
      <c r="Q874" s="181">
        <v>0</v>
      </c>
      <c r="R874" s="181">
        <v>0</v>
      </c>
      <c r="S874" s="182">
        <f t="shared" si="55"/>
        <v>20000</v>
      </c>
      <c r="T874" s="183"/>
    </row>
    <row r="875" spans="1:20" ht="11.25">
      <c r="A875" s="175" t="s">
        <v>265</v>
      </c>
      <c r="B875" s="175">
        <v>0</v>
      </c>
      <c r="C875" s="176" t="s">
        <v>399</v>
      </c>
      <c r="D875" s="176" t="s">
        <v>400</v>
      </c>
      <c r="E875" s="186" t="s">
        <v>375</v>
      </c>
      <c r="F875" s="186"/>
      <c r="G875" s="176" t="s">
        <v>334</v>
      </c>
      <c r="H875" s="178" t="s">
        <v>325</v>
      </c>
      <c r="I875" s="175" t="s">
        <v>326</v>
      </c>
      <c r="J875" s="179" t="s">
        <v>326</v>
      </c>
      <c r="K875" s="179"/>
      <c r="L875" s="176" t="s">
        <v>408</v>
      </c>
      <c r="M875" s="180">
        <v>2500000</v>
      </c>
      <c r="N875" s="181">
        <v>2500000</v>
      </c>
      <c r="O875" s="181">
        <v>0</v>
      </c>
      <c r="P875" s="181">
        <v>0</v>
      </c>
      <c r="Q875" s="181">
        <v>0</v>
      </c>
      <c r="R875" s="181">
        <v>0</v>
      </c>
      <c r="S875" s="182">
        <f t="shared" si="55"/>
        <v>0</v>
      </c>
      <c r="T875" s="183"/>
    </row>
    <row r="876" spans="1:20" ht="11.25">
      <c r="A876" s="175" t="s">
        <v>265</v>
      </c>
      <c r="B876" s="175">
        <v>0</v>
      </c>
      <c r="C876" s="176" t="s">
        <v>355</v>
      </c>
      <c r="D876" s="176" t="s">
        <v>322</v>
      </c>
      <c r="E876" s="186" t="s">
        <v>375</v>
      </c>
      <c r="F876" s="186"/>
      <c r="G876" s="176" t="s">
        <v>334</v>
      </c>
      <c r="H876" s="178" t="s">
        <v>325</v>
      </c>
      <c r="I876" s="175" t="s">
        <v>326</v>
      </c>
      <c r="J876" s="179" t="s">
        <v>326</v>
      </c>
      <c r="K876" s="179"/>
      <c r="L876" s="176" t="s">
        <v>409</v>
      </c>
      <c r="M876" s="180">
        <v>65000</v>
      </c>
      <c r="N876" s="181">
        <v>0</v>
      </c>
      <c r="O876" s="181">
        <v>0</v>
      </c>
      <c r="P876" s="181">
        <v>0</v>
      </c>
      <c r="Q876" s="181">
        <v>0</v>
      </c>
      <c r="R876" s="181">
        <v>0</v>
      </c>
      <c r="S876" s="182">
        <f t="shared" si="55"/>
        <v>65000</v>
      </c>
      <c r="T876" s="183"/>
    </row>
    <row r="877" spans="1:20" ht="11.25">
      <c r="A877" s="175" t="s">
        <v>265</v>
      </c>
      <c r="B877" s="175">
        <v>0</v>
      </c>
      <c r="C877" s="176" t="s">
        <v>410</v>
      </c>
      <c r="D877" s="176" t="s">
        <v>411</v>
      </c>
      <c r="E877" s="176" t="s">
        <v>397</v>
      </c>
      <c r="F877" s="176"/>
      <c r="G877" s="176" t="s">
        <v>324</v>
      </c>
      <c r="H877" s="178" t="s">
        <v>325</v>
      </c>
      <c r="I877" s="175" t="s">
        <v>326</v>
      </c>
      <c r="J877" s="179" t="s">
        <v>326</v>
      </c>
      <c r="K877" s="179"/>
      <c r="L877" s="176" t="s">
        <v>412</v>
      </c>
      <c r="M877" s="180">
        <v>30000</v>
      </c>
      <c r="N877" s="181">
        <v>0</v>
      </c>
      <c r="O877" s="181">
        <v>0</v>
      </c>
      <c r="P877" s="181">
        <v>0</v>
      </c>
      <c r="Q877" s="181">
        <v>0</v>
      </c>
      <c r="R877" s="181">
        <v>0</v>
      </c>
      <c r="S877" s="182">
        <f t="shared" si="55"/>
        <v>30000</v>
      </c>
      <c r="T877" s="183"/>
    </row>
    <row r="878" spans="1:20" ht="11.25">
      <c r="A878" s="187" t="s">
        <v>267</v>
      </c>
      <c r="B878" s="175">
        <v>1</v>
      </c>
      <c r="C878" s="176" t="s">
        <v>469</v>
      </c>
      <c r="D878" s="176" t="s">
        <v>394</v>
      </c>
      <c r="E878" s="176" t="s">
        <v>350</v>
      </c>
      <c r="F878" s="197" t="s">
        <v>290</v>
      </c>
      <c r="G878" s="176" t="s">
        <v>334</v>
      </c>
      <c r="H878" s="178" t="s">
        <v>325</v>
      </c>
      <c r="I878" s="175" t="s">
        <v>326</v>
      </c>
      <c r="J878" s="179" t="s">
        <v>326</v>
      </c>
      <c r="K878" s="179" t="s">
        <v>231</v>
      </c>
      <c r="L878" s="176" t="s">
        <v>413</v>
      </c>
      <c r="M878" s="180">
        <v>4196142</v>
      </c>
      <c r="N878" s="181">
        <v>0</v>
      </c>
      <c r="O878" s="181">
        <v>0</v>
      </c>
      <c r="P878" s="181">
        <v>0</v>
      </c>
      <c r="Q878" s="181">
        <v>0</v>
      </c>
      <c r="R878" s="181">
        <v>0</v>
      </c>
      <c r="S878" s="182">
        <f t="shared" si="55"/>
        <v>4196142</v>
      </c>
      <c r="T878" s="183"/>
    </row>
    <row r="879" spans="1:20" ht="11.25">
      <c r="A879" s="187" t="s">
        <v>267</v>
      </c>
      <c r="B879" s="175">
        <v>1</v>
      </c>
      <c r="C879" s="176" t="s">
        <v>469</v>
      </c>
      <c r="D879" s="176" t="s">
        <v>394</v>
      </c>
      <c r="E879" s="176" t="s">
        <v>350</v>
      </c>
      <c r="F879" s="197" t="s">
        <v>291</v>
      </c>
      <c r="G879" s="176" t="s">
        <v>334</v>
      </c>
      <c r="H879" s="178" t="s">
        <v>325</v>
      </c>
      <c r="I879" s="175" t="s">
        <v>326</v>
      </c>
      <c r="J879" s="179" t="s">
        <v>326</v>
      </c>
      <c r="K879" s="179" t="s">
        <v>231</v>
      </c>
      <c r="L879" s="176" t="s">
        <v>466</v>
      </c>
      <c r="M879" s="180">
        <v>3284830</v>
      </c>
      <c r="N879" s="181">
        <v>0</v>
      </c>
      <c r="O879" s="181">
        <v>0</v>
      </c>
      <c r="P879" s="181">
        <v>0</v>
      </c>
      <c r="Q879" s="181">
        <v>0</v>
      </c>
      <c r="R879" s="181">
        <v>0</v>
      </c>
      <c r="S879" s="182">
        <f t="shared" si="55"/>
        <v>3284830</v>
      </c>
      <c r="T879" s="183"/>
    </row>
    <row r="880" spans="1:20" ht="11.25">
      <c r="A880" s="187" t="s">
        <v>268</v>
      </c>
      <c r="B880" s="175">
        <v>2</v>
      </c>
      <c r="C880" s="176" t="s">
        <v>469</v>
      </c>
      <c r="D880" s="176" t="s">
        <v>394</v>
      </c>
      <c r="E880" s="177" t="s">
        <v>414</v>
      </c>
      <c r="F880" s="197" t="s">
        <v>290</v>
      </c>
      <c r="G880" s="176" t="s">
        <v>334</v>
      </c>
      <c r="H880" s="178" t="s">
        <v>325</v>
      </c>
      <c r="I880" s="175" t="s">
        <v>326</v>
      </c>
      <c r="J880" s="179" t="s">
        <v>326</v>
      </c>
      <c r="K880" s="179" t="s">
        <v>231</v>
      </c>
      <c r="L880" s="176" t="s">
        <v>415</v>
      </c>
      <c r="M880" s="180">
        <v>9168434</v>
      </c>
      <c r="N880" s="181">
        <v>0</v>
      </c>
      <c r="O880" s="181">
        <v>0</v>
      </c>
      <c r="P880" s="181">
        <v>0</v>
      </c>
      <c r="Q880" s="181">
        <v>0</v>
      </c>
      <c r="R880" s="181">
        <v>0</v>
      </c>
      <c r="S880" s="182">
        <f t="shared" si="55"/>
        <v>9168434</v>
      </c>
      <c r="T880" s="183"/>
    </row>
    <row r="881" spans="1:20" ht="11.25">
      <c r="A881" s="187" t="s">
        <v>269</v>
      </c>
      <c r="B881" s="175">
        <v>3</v>
      </c>
      <c r="C881" s="176" t="s">
        <v>469</v>
      </c>
      <c r="D881" s="176" t="s">
        <v>394</v>
      </c>
      <c r="E881" s="177" t="s">
        <v>414</v>
      </c>
      <c r="F881" s="197" t="s">
        <v>290</v>
      </c>
      <c r="G881" s="176" t="s">
        <v>334</v>
      </c>
      <c r="H881" s="178" t="s">
        <v>325</v>
      </c>
      <c r="I881" s="175" t="s">
        <v>326</v>
      </c>
      <c r="J881" s="179" t="s">
        <v>326</v>
      </c>
      <c r="K881" s="179" t="s">
        <v>231</v>
      </c>
      <c r="L881" s="176" t="s">
        <v>415</v>
      </c>
      <c r="M881" s="180">
        <v>9349378</v>
      </c>
      <c r="N881" s="181">
        <v>0</v>
      </c>
      <c r="O881" s="181">
        <v>0</v>
      </c>
      <c r="P881" s="181">
        <v>0</v>
      </c>
      <c r="Q881" s="181">
        <v>0</v>
      </c>
      <c r="R881" s="181">
        <v>0</v>
      </c>
      <c r="S881" s="182">
        <f t="shared" si="55"/>
        <v>9349378</v>
      </c>
      <c r="T881" s="183"/>
    </row>
    <row r="882" spans="1:20" ht="11.25">
      <c r="A882" s="175" t="s">
        <v>265</v>
      </c>
      <c r="B882" s="175">
        <v>0</v>
      </c>
      <c r="C882" s="176" t="s">
        <v>469</v>
      </c>
      <c r="D882" s="176" t="s">
        <v>394</v>
      </c>
      <c r="E882" s="176" t="s">
        <v>350</v>
      </c>
      <c r="F882" s="197" t="s">
        <v>472</v>
      </c>
      <c r="G882" s="176" t="s">
        <v>334</v>
      </c>
      <c r="H882" s="178" t="s">
        <v>325</v>
      </c>
      <c r="I882" s="175" t="s">
        <v>326</v>
      </c>
      <c r="J882" s="179" t="s">
        <v>326</v>
      </c>
      <c r="K882" s="179" t="s">
        <v>231</v>
      </c>
      <c r="L882" s="176" t="s">
        <v>416</v>
      </c>
      <c r="M882" s="180">
        <v>1640481.32</v>
      </c>
      <c r="N882" s="181">
        <v>0</v>
      </c>
      <c r="O882" s="181">
        <v>0</v>
      </c>
      <c r="P882" s="181">
        <v>0</v>
      </c>
      <c r="Q882" s="181">
        <v>0</v>
      </c>
      <c r="R882" s="181">
        <v>0</v>
      </c>
      <c r="S882" s="182">
        <f t="shared" si="55"/>
        <v>1640481.32</v>
      </c>
      <c r="T882" s="183"/>
    </row>
    <row r="883" spans="1:20" ht="11.25">
      <c r="A883" s="187" t="s">
        <v>267</v>
      </c>
      <c r="B883" s="175">
        <v>1</v>
      </c>
      <c r="C883" s="176" t="s">
        <v>469</v>
      </c>
      <c r="D883" s="176" t="s">
        <v>394</v>
      </c>
      <c r="E883" s="176" t="s">
        <v>350</v>
      </c>
      <c r="F883" s="197" t="s">
        <v>472</v>
      </c>
      <c r="G883" s="176" t="s">
        <v>334</v>
      </c>
      <c r="H883" s="178" t="s">
        <v>325</v>
      </c>
      <c r="I883" s="175" t="s">
        <v>326</v>
      </c>
      <c r="J883" s="179" t="s">
        <v>326</v>
      </c>
      <c r="K883" s="179" t="s">
        <v>231</v>
      </c>
      <c r="L883" s="176" t="s">
        <v>416</v>
      </c>
      <c r="M883" s="180">
        <v>8389119</v>
      </c>
      <c r="N883" s="181">
        <v>0</v>
      </c>
      <c r="O883" s="181">
        <v>0</v>
      </c>
      <c r="P883" s="181">
        <f>M883</f>
        <v>8389119</v>
      </c>
      <c r="Q883" s="181">
        <v>0</v>
      </c>
      <c r="R883" s="181">
        <v>0</v>
      </c>
      <c r="S883" s="182">
        <f t="shared" si="55"/>
        <v>0</v>
      </c>
      <c r="T883" s="183"/>
    </row>
    <row r="884" spans="1:20" ht="11.25">
      <c r="A884" s="187" t="s">
        <v>268</v>
      </c>
      <c r="B884" s="175">
        <v>2</v>
      </c>
      <c r="C884" s="176" t="s">
        <v>469</v>
      </c>
      <c r="D884" s="176" t="s">
        <v>394</v>
      </c>
      <c r="E884" s="176" t="s">
        <v>350</v>
      </c>
      <c r="F884" s="197" t="s">
        <v>472</v>
      </c>
      <c r="G884" s="176" t="s">
        <v>334</v>
      </c>
      <c r="H884" s="178" t="s">
        <v>325</v>
      </c>
      <c r="I884" s="175" t="s">
        <v>326</v>
      </c>
      <c r="J884" s="179" t="s">
        <v>326</v>
      </c>
      <c r="K884" s="179" t="s">
        <v>231</v>
      </c>
      <c r="L884" s="176" t="s">
        <v>416</v>
      </c>
      <c r="M884" s="180">
        <v>10626230</v>
      </c>
      <c r="N884" s="181">
        <v>0</v>
      </c>
      <c r="O884" s="181">
        <v>0</v>
      </c>
      <c r="P884" s="181">
        <v>8358459</v>
      </c>
      <c r="Q884" s="181">
        <v>0</v>
      </c>
      <c r="R884" s="181">
        <v>0</v>
      </c>
      <c r="S884" s="182">
        <f t="shared" si="55"/>
        <v>2267771</v>
      </c>
      <c r="T884" s="183"/>
    </row>
    <row r="885" spans="1:20" ht="11.25">
      <c r="A885" s="187" t="s">
        <v>269</v>
      </c>
      <c r="B885" s="175">
        <v>3</v>
      </c>
      <c r="C885" s="176" t="s">
        <v>469</v>
      </c>
      <c r="D885" s="176" t="s">
        <v>394</v>
      </c>
      <c r="E885" s="176" t="s">
        <v>350</v>
      </c>
      <c r="F885" s="197" t="s">
        <v>472</v>
      </c>
      <c r="G885" s="176" t="s">
        <v>334</v>
      </c>
      <c r="H885" s="178" t="s">
        <v>325</v>
      </c>
      <c r="I885" s="175" t="s">
        <v>326</v>
      </c>
      <c r="J885" s="179" t="s">
        <v>326</v>
      </c>
      <c r="K885" s="179" t="s">
        <v>231</v>
      </c>
      <c r="L885" s="176" t="s">
        <v>416</v>
      </c>
      <c r="M885" s="180">
        <v>11113089</v>
      </c>
      <c r="N885" s="181">
        <v>0</v>
      </c>
      <c r="O885" s="181">
        <v>0</v>
      </c>
      <c r="P885" s="181">
        <v>5457707</v>
      </c>
      <c r="Q885" s="181">
        <v>0</v>
      </c>
      <c r="R885" s="181">
        <v>0</v>
      </c>
      <c r="S885" s="182">
        <f t="shared" si="55"/>
        <v>5655382</v>
      </c>
      <c r="T885" s="183"/>
    </row>
    <row r="886" spans="1:20" ht="11.25">
      <c r="A886" s="175" t="s">
        <v>265</v>
      </c>
      <c r="B886" s="175">
        <v>0</v>
      </c>
      <c r="C886" s="176" t="s">
        <v>469</v>
      </c>
      <c r="D886" s="176" t="s">
        <v>394</v>
      </c>
      <c r="E886" s="176" t="s">
        <v>417</v>
      </c>
      <c r="F886" s="197" t="s">
        <v>472</v>
      </c>
      <c r="G886" s="176" t="s">
        <v>334</v>
      </c>
      <c r="H886" s="178" t="s">
        <v>325</v>
      </c>
      <c r="I886" s="175" t="s">
        <v>326</v>
      </c>
      <c r="J886" s="179" t="s">
        <v>326</v>
      </c>
      <c r="K886" s="179" t="s">
        <v>231</v>
      </c>
      <c r="L886" s="176" t="s">
        <v>418</v>
      </c>
      <c r="M886" s="180">
        <v>451850</v>
      </c>
      <c r="N886" s="181">
        <v>0</v>
      </c>
      <c r="O886" s="181">
        <v>0</v>
      </c>
      <c r="P886" s="181">
        <v>0</v>
      </c>
      <c r="Q886" s="181">
        <v>0</v>
      </c>
      <c r="R886" s="181">
        <v>0</v>
      </c>
      <c r="S886" s="182">
        <f t="shared" si="55"/>
        <v>451850</v>
      </c>
      <c r="T886" s="183"/>
    </row>
    <row r="887" spans="1:20" ht="11.25">
      <c r="A887" s="187" t="s">
        <v>267</v>
      </c>
      <c r="B887" s="175">
        <v>1</v>
      </c>
      <c r="C887" s="176" t="s">
        <v>469</v>
      </c>
      <c r="D887" s="176" t="s">
        <v>394</v>
      </c>
      <c r="E887" s="176" t="s">
        <v>417</v>
      </c>
      <c r="F887" s="197" t="s">
        <v>472</v>
      </c>
      <c r="G887" s="176" t="s">
        <v>334</v>
      </c>
      <c r="H887" s="178" t="s">
        <v>325</v>
      </c>
      <c r="I887" s="175" t="s">
        <v>326</v>
      </c>
      <c r="J887" s="179" t="s">
        <v>326</v>
      </c>
      <c r="K887" s="179" t="s">
        <v>231</v>
      </c>
      <c r="L887" s="176" t="s">
        <v>418</v>
      </c>
      <c r="M887" s="180">
        <v>2232800</v>
      </c>
      <c r="N887" s="181">
        <v>0</v>
      </c>
      <c r="O887" s="181">
        <v>0</v>
      </c>
      <c r="P887" s="181">
        <f>8674247-8389119</f>
        <v>285128</v>
      </c>
      <c r="Q887" s="181">
        <v>0</v>
      </c>
      <c r="R887" s="181">
        <v>0</v>
      </c>
      <c r="S887" s="182">
        <f t="shared" si="55"/>
        <v>1947672</v>
      </c>
      <c r="T887" s="183"/>
    </row>
    <row r="888" spans="1:20" ht="11.25">
      <c r="A888" s="187" t="s">
        <v>268</v>
      </c>
      <c r="B888" s="175">
        <v>2</v>
      </c>
      <c r="C888" s="176" t="s">
        <v>469</v>
      </c>
      <c r="D888" s="176" t="s">
        <v>394</v>
      </c>
      <c r="E888" s="176" t="s">
        <v>417</v>
      </c>
      <c r="F888" s="197" t="s">
        <v>472</v>
      </c>
      <c r="G888" s="176" t="s">
        <v>334</v>
      </c>
      <c r="H888" s="178" t="s">
        <v>325</v>
      </c>
      <c r="I888" s="175" t="s">
        <v>326</v>
      </c>
      <c r="J888" s="179" t="s">
        <v>326</v>
      </c>
      <c r="K888" s="179" t="s">
        <v>231</v>
      </c>
      <c r="L888" s="176" t="s">
        <v>418</v>
      </c>
      <c r="M888" s="180">
        <v>944641</v>
      </c>
      <c r="N888" s="181">
        <v>0</v>
      </c>
      <c r="O888" s="181">
        <v>0</v>
      </c>
      <c r="P888" s="181">
        <v>0</v>
      </c>
      <c r="Q888" s="181">
        <v>0</v>
      </c>
      <c r="R888" s="181">
        <v>0</v>
      </c>
      <c r="S888" s="182">
        <f t="shared" si="55"/>
        <v>944641</v>
      </c>
      <c r="T888" s="183"/>
    </row>
    <row r="889" spans="1:20" ht="11.25">
      <c r="A889" s="187" t="s">
        <v>269</v>
      </c>
      <c r="B889" s="175">
        <v>3</v>
      </c>
      <c r="C889" s="176" t="s">
        <v>469</v>
      </c>
      <c r="D889" s="176" t="s">
        <v>394</v>
      </c>
      <c r="E889" s="176" t="s">
        <v>417</v>
      </c>
      <c r="F889" s="197" t="s">
        <v>472</v>
      </c>
      <c r="G889" s="176" t="s">
        <v>334</v>
      </c>
      <c r="H889" s="178" t="s">
        <v>325</v>
      </c>
      <c r="I889" s="175" t="s">
        <v>326</v>
      </c>
      <c r="J889" s="179" t="s">
        <v>326</v>
      </c>
      <c r="K889" s="179" t="s">
        <v>231</v>
      </c>
      <c r="L889" s="176" t="s">
        <v>418</v>
      </c>
      <c r="M889" s="180">
        <v>1870491</v>
      </c>
      <c r="N889" s="181">
        <v>0</v>
      </c>
      <c r="O889" s="181">
        <v>0</v>
      </c>
      <c r="P889" s="181">
        <v>0</v>
      </c>
      <c r="Q889" s="181">
        <v>0</v>
      </c>
      <c r="R889" s="181">
        <v>0</v>
      </c>
      <c r="S889" s="182">
        <f t="shared" si="55"/>
        <v>1870491</v>
      </c>
      <c r="T889" s="183"/>
    </row>
    <row r="890" spans="1:20" ht="11.25">
      <c r="A890" s="187" t="s">
        <v>269</v>
      </c>
      <c r="B890" s="175">
        <v>3</v>
      </c>
      <c r="C890" s="176" t="s">
        <v>469</v>
      </c>
      <c r="D890" s="176" t="s">
        <v>394</v>
      </c>
      <c r="E890" s="176" t="s">
        <v>350</v>
      </c>
      <c r="F890" s="197" t="s">
        <v>291</v>
      </c>
      <c r="G890" s="176" t="s">
        <v>334</v>
      </c>
      <c r="H890" s="178" t="s">
        <v>325</v>
      </c>
      <c r="I890" s="175" t="s">
        <v>326</v>
      </c>
      <c r="J890" s="179" t="s">
        <v>326</v>
      </c>
      <c r="K890" s="179" t="s">
        <v>231</v>
      </c>
      <c r="L890" s="176" t="s">
        <v>467</v>
      </c>
      <c r="M890" s="180">
        <v>148257</v>
      </c>
      <c r="N890" s="181">
        <v>0</v>
      </c>
      <c r="O890" s="181">
        <v>0</v>
      </c>
      <c r="P890" s="181">
        <v>0</v>
      </c>
      <c r="Q890" s="181">
        <v>0</v>
      </c>
      <c r="R890" s="181">
        <v>0</v>
      </c>
      <c r="S890" s="182">
        <f t="shared" si="55"/>
        <v>148257</v>
      </c>
      <c r="T890" s="183"/>
    </row>
    <row r="891" spans="1:20" ht="11.25">
      <c r="A891" s="187" t="s">
        <v>270</v>
      </c>
      <c r="B891" s="175">
        <v>4</v>
      </c>
      <c r="C891" s="176" t="s">
        <v>469</v>
      </c>
      <c r="D891" s="176" t="s">
        <v>394</v>
      </c>
      <c r="E891" s="177" t="s">
        <v>414</v>
      </c>
      <c r="F891" s="197" t="s">
        <v>290</v>
      </c>
      <c r="G891" s="176" t="s">
        <v>334</v>
      </c>
      <c r="H891" s="178" t="s">
        <v>325</v>
      </c>
      <c r="I891" s="175" t="s">
        <v>326</v>
      </c>
      <c r="J891" s="179" t="s">
        <v>326</v>
      </c>
      <c r="K891" s="179" t="s">
        <v>231</v>
      </c>
      <c r="L891" s="176" t="s">
        <v>415</v>
      </c>
      <c r="M891" s="180">
        <v>6978333</v>
      </c>
      <c r="N891" s="181">
        <v>0</v>
      </c>
      <c r="O891" s="181">
        <v>0</v>
      </c>
      <c r="P891" s="181">
        <v>0</v>
      </c>
      <c r="Q891" s="181">
        <v>0</v>
      </c>
      <c r="R891" s="181">
        <v>0</v>
      </c>
      <c r="S891" s="182">
        <f t="shared" si="55"/>
        <v>6978333</v>
      </c>
      <c r="T891" s="183"/>
    </row>
    <row r="892" spans="1:20" ht="11.25">
      <c r="A892" s="187" t="s">
        <v>270</v>
      </c>
      <c r="B892" s="175">
        <v>4</v>
      </c>
      <c r="C892" s="176" t="s">
        <v>469</v>
      </c>
      <c r="D892" s="176" t="s">
        <v>394</v>
      </c>
      <c r="E892" s="176" t="s">
        <v>350</v>
      </c>
      <c r="F892" s="197" t="s">
        <v>472</v>
      </c>
      <c r="G892" s="176" t="s">
        <v>334</v>
      </c>
      <c r="H892" s="178" t="s">
        <v>325</v>
      </c>
      <c r="I892" s="175" t="s">
        <v>326</v>
      </c>
      <c r="J892" s="179" t="s">
        <v>326</v>
      </c>
      <c r="K892" s="179" t="s">
        <v>231</v>
      </c>
      <c r="L892" s="176" t="s">
        <v>416</v>
      </c>
      <c r="M892" s="180">
        <v>9331180</v>
      </c>
      <c r="N892" s="181">
        <v>0</v>
      </c>
      <c r="O892" s="181">
        <v>0</v>
      </c>
      <c r="P892" s="181">
        <v>3140123</v>
      </c>
      <c r="Q892" s="181">
        <v>0</v>
      </c>
      <c r="R892" s="181">
        <v>0</v>
      </c>
      <c r="S892" s="182">
        <f t="shared" si="55"/>
        <v>6191057</v>
      </c>
      <c r="T892" s="183"/>
    </row>
    <row r="893" spans="1:20" ht="11.25">
      <c r="A893" s="187" t="s">
        <v>270</v>
      </c>
      <c r="B893" s="175">
        <v>4</v>
      </c>
      <c r="C893" s="176" t="s">
        <v>469</v>
      </c>
      <c r="D893" s="176" t="s">
        <v>394</v>
      </c>
      <c r="E893" s="176" t="s">
        <v>417</v>
      </c>
      <c r="F893" s="197" t="s">
        <v>472</v>
      </c>
      <c r="G893" s="176" t="s">
        <v>334</v>
      </c>
      <c r="H893" s="178" t="s">
        <v>325</v>
      </c>
      <c r="I893" s="175" t="s">
        <v>326</v>
      </c>
      <c r="J893" s="179" t="s">
        <v>326</v>
      </c>
      <c r="K893" s="179" t="s">
        <v>231</v>
      </c>
      <c r="L893" s="176" t="s">
        <v>418</v>
      </c>
      <c r="M893" s="180">
        <v>3619835</v>
      </c>
      <c r="N893" s="181">
        <v>0</v>
      </c>
      <c r="O893" s="181">
        <v>0</v>
      </c>
      <c r="P893" s="181">
        <v>0</v>
      </c>
      <c r="Q893" s="181">
        <v>0</v>
      </c>
      <c r="R893" s="181">
        <v>0</v>
      </c>
      <c r="S893" s="182">
        <f t="shared" si="55"/>
        <v>3619835</v>
      </c>
      <c r="T893" s="183"/>
    </row>
    <row r="894" spans="1:20" ht="11.25">
      <c r="A894" s="187" t="s">
        <v>270</v>
      </c>
      <c r="B894" s="175">
        <v>4</v>
      </c>
      <c r="C894" s="176" t="s">
        <v>469</v>
      </c>
      <c r="D894" s="176" t="s">
        <v>394</v>
      </c>
      <c r="E894" s="176" t="s">
        <v>350</v>
      </c>
      <c r="F894" s="197" t="s">
        <v>291</v>
      </c>
      <c r="G894" s="176" t="s">
        <v>334</v>
      </c>
      <c r="H894" s="178" t="s">
        <v>325</v>
      </c>
      <c r="I894" s="175" t="s">
        <v>326</v>
      </c>
      <c r="J894" s="179" t="s">
        <v>326</v>
      </c>
      <c r="K894" s="179" t="s">
        <v>231</v>
      </c>
      <c r="L894" s="176" t="s">
        <v>467</v>
      </c>
      <c r="M894" s="180">
        <v>347900</v>
      </c>
      <c r="N894" s="181">
        <v>0</v>
      </c>
      <c r="O894" s="181">
        <v>0</v>
      </c>
      <c r="P894" s="181">
        <v>0</v>
      </c>
      <c r="Q894" s="181">
        <v>0</v>
      </c>
      <c r="R894" s="181">
        <v>0</v>
      </c>
      <c r="S894" s="182">
        <f>M894-SUM(N894:R894)</f>
        <v>347900</v>
      </c>
      <c r="T894" s="183"/>
    </row>
    <row r="895" spans="1:20" ht="11.25">
      <c r="A895" s="187" t="s">
        <v>271</v>
      </c>
      <c r="B895" s="175">
        <v>5</v>
      </c>
      <c r="C895" s="176" t="s">
        <v>469</v>
      </c>
      <c r="D895" s="176" t="s">
        <v>394</v>
      </c>
      <c r="E895" s="177" t="s">
        <v>414</v>
      </c>
      <c r="F895" s="197" t="s">
        <v>290</v>
      </c>
      <c r="G895" s="176" t="s">
        <v>334</v>
      </c>
      <c r="H895" s="178" t="s">
        <v>325</v>
      </c>
      <c r="I895" s="175" t="s">
        <v>326</v>
      </c>
      <c r="J895" s="179" t="s">
        <v>326</v>
      </c>
      <c r="K895" s="179" t="s">
        <v>231</v>
      </c>
      <c r="L895" s="176" t="s">
        <v>415</v>
      </c>
      <c r="M895" s="180">
        <v>6049836</v>
      </c>
      <c r="N895" s="181">
        <v>0</v>
      </c>
      <c r="O895" s="181">
        <v>0</v>
      </c>
      <c r="P895" s="181">
        <v>0</v>
      </c>
      <c r="Q895" s="181">
        <v>0</v>
      </c>
      <c r="R895" s="181">
        <v>0</v>
      </c>
      <c r="S895" s="182">
        <f t="shared" si="55"/>
        <v>6049836</v>
      </c>
      <c r="T895" s="183"/>
    </row>
    <row r="896" spans="1:20" ht="11.25">
      <c r="A896" s="187" t="s">
        <v>271</v>
      </c>
      <c r="B896" s="175">
        <v>5</v>
      </c>
      <c r="C896" s="176" t="s">
        <v>469</v>
      </c>
      <c r="D896" s="176" t="s">
        <v>394</v>
      </c>
      <c r="E896" s="176" t="s">
        <v>350</v>
      </c>
      <c r="F896" s="197" t="s">
        <v>472</v>
      </c>
      <c r="G896" s="176" t="s">
        <v>334</v>
      </c>
      <c r="H896" s="178" t="s">
        <v>325</v>
      </c>
      <c r="I896" s="175" t="s">
        <v>326</v>
      </c>
      <c r="J896" s="179" t="s">
        <v>326</v>
      </c>
      <c r="K896" s="179" t="s">
        <v>231</v>
      </c>
      <c r="L896" s="176" t="s">
        <v>416</v>
      </c>
      <c r="M896" s="180">
        <v>6180429</v>
      </c>
      <c r="N896" s="181">
        <v>0</v>
      </c>
      <c r="O896" s="181">
        <v>0</v>
      </c>
      <c r="P896" s="181">
        <v>4113771</v>
      </c>
      <c r="Q896" s="181">
        <v>0</v>
      </c>
      <c r="R896" s="181">
        <v>0</v>
      </c>
      <c r="S896" s="182">
        <f t="shared" si="55"/>
        <v>2066658</v>
      </c>
      <c r="T896" s="183"/>
    </row>
    <row r="897" spans="1:20" ht="11.25">
      <c r="A897" s="187" t="s">
        <v>271</v>
      </c>
      <c r="B897" s="175">
        <v>5</v>
      </c>
      <c r="C897" s="176" t="s">
        <v>469</v>
      </c>
      <c r="D897" s="176" t="s">
        <v>394</v>
      </c>
      <c r="E897" s="176" t="s">
        <v>417</v>
      </c>
      <c r="F897" s="197" t="s">
        <v>472</v>
      </c>
      <c r="G897" s="176" t="s">
        <v>334</v>
      </c>
      <c r="H897" s="178" t="s">
        <v>325</v>
      </c>
      <c r="I897" s="175" t="s">
        <v>326</v>
      </c>
      <c r="J897" s="179" t="s">
        <v>326</v>
      </c>
      <c r="K897" s="179" t="s">
        <v>231</v>
      </c>
      <c r="L897" s="176" t="s">
        <v>418</v>
      </c>
      <c r="M897" s="180">
        <v>2733932</v>
      </c>
      <c r="N897" s="181">
        <v>0</v>
      </c>
      <c r="O897" s="181">
        <v>0</v>
      </c>
      <c r="P897" s="181">
        <v>0</v>
      </c>
      <c r="Q897" s="181">
        <v>0</v>
      </c>
      <c r="R897" s="181">
        <v>0</v>
      </c>
      <c r="S897" s="182">
        <f t="shared" si="55"/>
        <v>2733932</v>
      </c>
      <c r="T897" s="183"/>
    </row>
    <row r="898" spans="1:20" ht="11.25">
      <c r="A898" s="187" t="s">
        <v>271</v>
      </c>
      <c r="B898" s="175">
        <v>5</v>
      </c>
      <c r="C898" s="176" t="s">
        <v>469</v>
      </c>
      <c r="D898" s="176" t="s">
        <v>394</v>
      </c>
      <c r="E898" s="176" t="s">
        <v>350</v>
      </c>
      <c r="F898" s="197" t="s">
        <v>291</v>
      </c>
      <c r="G898" s="176" t="s">
        <v>334</v>
      </c>
      <c r="H898" s="178" t="s">
        <v>325</v>
      </c>
      <c r="I898" s="175" t="s">
        <v>326</v>
      </c>
      <c r="J898" s="179" t="s">
        <v>326</v>
      </c>
      <c r="K898" s="179" t="s">
        <v>231</v>
      </c>
      <c r="L898" s="176" t="s">
        <v>467</v>
      </c>
      <c r="M898" s="180">
        <v>307186</v>
      </c>
      <c r="N898" s="181">
        <v>0</v>
      </c>
      <c r="O898" s="181">
        <v>0</v>
      </c>
      <c r="P898" s="181">
        <v>0</v>
      </c>
      <c r="Q898" s="181">
        <v>0</v>
      </c>
      <c r="R898" s="181">
        <v>0</v>
      </c>
      <c r="S898" s="182">
        <f t="shared" si="55"/>
        <v>307186</v>
      </c>
      <c r="T898" s="183"/>
    </row>
    <row r="899" spans="1:20" ht="11.25">
      <c r="A899" s="187" t="s">
        <v>271</v>
      </c>
      <c r="B899" s="175">
        <v>5</v>
      </c>
      <c r="C899" s="176" t="s">
        <v>469</v>
      </c>
      <c r="D899" s="176" t="s">
        <v>394</v>
      </c>
      <c r="E899" s="176" t="s">
        <v>350</v>
      </c>
      <c r="F899" s="197" t="s">
        <v>291</v>
      </c>
      <c r="G899" s="176" t="s">
        <v>334</v>
      </c>
      <c r="H899" s="178" t="s">
        <v>325</v>
      </c>
      <c r="I899" s="175" t="s">
        <v>326</v>
      </c>
      <c r="J899" s="179" t="s">
        <v>326</v>
      </c>
      <c r="K899" s="179" t="s">
        <v>231</v>
      </c>
      <c r="L899" s="176" t="s">
        <v>466</v>
      </c>
      <c r="M899" s="180">
        <v>1805421</v>
      </c>
      <c r="N899" s="181">
        <v>0</v>
      </c>
      <c r="O899" s="181">
        <v>0</v>
      </c>
      <c r="P899" s="181">
        <v>0</v>
      </c>
      <c r="Q899" s="181">
        <v>0</v>
      </c>
      <c r="R899" s="181">
        <v>0</v>
      </c>
      <c r="S899" s="182">
        <f t="shared" si="55"/>
        <v>1805421</v>
      </c>
      <c r="T899" s="183"/>
    </row>
    <row r="900" spans="1:20" ht="11.25">
      <c r="A900" s="187" t="s">
        <v>272</v>
      </c>
      <c r="B900" s="175">
        <v>6</v>
      </c>
      <c r="C900" s="176" t="s">
        <v>469</v>
      </c>
      <c r="D900" s="176" t="s">
        <v>394</v>
      </c>
      <c r="E900" s="177" t="s">
        <v>417</v>
      </c>
      <c r="F900" s="197" t="s">
        <v>290</v>
      </c>
      <c r="G900" s="176" t="s">
        <v>334</v>
      </c>
      <c r="H900" s="178" t="s">
        <v>325</v>
      </c>
      <c r="I900" s="175" t="s">
        <v>326</v>
      </c>
      <c r="J900" s="179" t="s">
        <v>326</v>
      </c>
      <c r="K900" s="179" t="s">
        <v>231</v>
      </c>
      <c r="L900" s="176" t="s">
        <v>415</v>
      </c>
      <c r="M900" s="180">
        <v>31250</v>
      </c>
      <c r="N900" s="181">
        <v>0</v>
      </c>
      <c r="O900" s="181">
        <v>0</v>
      </c>
      <c r="P900" s="181">
        <v>0</v>
      </c>
      <c r="Q900" s="181">
        <v>0</v>
      </c>
      <c r="R900" s="181">
        <v>0</v>
      </c>
      <c r="S900" s="182">
        <f t="shared" si="55"/>
        <v>31250</v>
      </c>
      <c r="T900" s="183"/>
    </row>
    <row r="901" spans="1:20" ht="11.25">
      <c r="A901" s="187" t="s">
        <v>272</v>
      </c>
      <c r="B901" s="175">
        <v>6</v>
      </c>
      <c r="C901" s="176" t="s">
        <v>469</v>
      </c>
      <c r="D901" s="176" t="s">
        <v>394</v>
      </c>
      <c r="E901" s="176" t="s">
        <v>350</v>
      </c>
      <c r="F901" s="197" t="s">
        <v>472</v>
      </c>
      <c r="G901" s="176" t="s">
        <v>334</v>
      </c>
      <c r="H901" s="178" t="s">
        <v>325</v>
      </c>
      <c r="I901" s="175" t="s">
        <v>326</v>
      </c>
      <c r="J901" s="179" t="s">
        <v>326</v>
      </c>
      <c r="K901" s="179" t="s">
        <v>231</v>
      </c>
      <c r="L901" s="176" t="s">
        <v>416</v>
      </c>
      <c r="M901" s="180">
        <v>10335282</v>
      </c>
      <c r="N901" s="181">
        <v>0</v>
      </c>
      <c r="O901" s="181">
        <v>0</v>
      </c>
      <c r="P901" s="181">
        <v>6153948</v>
      </c>
      <c r="Q901" s="181">
        <v>0</v>
      </c>
      <c r="R901" s="181">
        <v>0</v>
      </c>
      <c r="S901" s="182">
        <f t="shared" si="55"/>
        <v>4181334</v>
      </c>
      <c r="T901" s="183"/>
    </row>
    <row r="902" spans="1:20" ht="11.25">
      <c r="A902" s="187" t="s">
        <v>272</v>
      </c>
      <c r="B902" s="175">
        <v>6</v>
      </c>
      <c r="C902" s="176" t="s">
        <v>469</v>
      </c>
      <c r="D902" s="176" t="s">
        <v>394</v>
      </c>
      <c r="E902" s="176" t="s">
        <v>417</v>
      </c>
      <c r="F902" s="197" t="s">
        <v>472</v>
      </c>
      <c r="G902" s="176" t="s">
        <v>334</v>
      </c>
      <c r="H902" s="178" t="s">
        <v>325</v>
      </c>
      <c r="I902" s="175" t="s">
        <v>326</v>
      </c>
      <c r="J902" s="179" t="s">
        <v>326</v>
      </c>
      <c r="K902" s="179" t="s">
        <v>231</v>
      </c>
      <c r="L902" s="176" t="s">
        <v>418</v>
      </c>
      <c r="M902" s="180">
        <v>1462351</v>
      </c>
      <c r="N902" s="181">
        <v>0</v>
      </c>
      <c r="O902" s="181">
        <v>0</v>
      </c>
      <c r="P902" s="181">
        <v>0</v>
      </c>
      <c r="Q902" s="181">
        <v>0</v>
      </c>
      <c r="R902" s="181">
        <v>0</v>
      </c>
      <c r="S902" s="182">
        <f t="shared" si="55"/>
        <v>1462351</v>
      </c>
      <c r="T902" s="183"/>
    </row>
    <row r="903" spans="1:20" ht="11.25">
      <c r="A903" s="187" t="s">
        <v>272</v>
      </c>
      <c r="B903" s="175">
        <v>6</v>
      </c>
      <c r="C903" s="176" t="s">
        <v>469</v>
      </c>
      <c r="D903" s="176" t="s">
        <v>394</v>
      </c>
      <c r="E903" s="176" t="s">
        <v>350</v>
      </c>
      <c r="F903" s="197" t="s">
        <v>291</v>
      </c>
      <c r="G903" s="176" t="s">
        <v>334</v>
      </c>
      <c r="H903" s="178" t="s">
        <v>325</v>
      </c>
      <c r="I903" s="175" t="s">
        <v>326</v>
      </c>
      <c r="J903" s="179" t="s">
        <v>326</v>
      </c>
      <c r="K903" s="179" t="s">
        <v>231</v>
      </c>
      <c r="L903" s="176" t="s">
        <v>467</v>
      </c>
      <c r="M903" s="180">
        <v>976197</v>
      </c>
      <c r="N903" s="181">
        <v>0</v>
      </c>
      <c r="O903" s="181">
        <v>0</v>
      </c>
      <c r="P903" s="181">
        <v>0</v>
      </c>
      <c r="Q903" s="181">
        <v>0</v>
      </c>
      <c r="R903" s="181">
        <v>0</v>
      </c>
      <c r="S903" s="182">
        <f t="shared" si="55"/>
        <v>976197</v>
      </c>
      <c r="T903" s="183"/>
    </row>
    <row r="904" spans="1:20" ht="11.25">
      <c r="A904" s="187" t="s">
        <v>273</v>
      </c>
      <c r="B904" s="175">
        <v>7</v>
      </c>
      <c r="C904" s="176" t="s">
        <v>469</v>
      </c>
      <c r="D904" s="176" t="s">
        <v>394</v>
      </c>
      <c r="E904" s="177" t="s">
        <v>414</v>
      </c>
      <c r="F904" s="197" t="s">
        <v>290</v>
      </c>
      <c r="G904" s="176" t="s">
        <v>334</v>
      </c>
      <c r="H904" s="178" t="s">
        <v>325</v>
      </c>
      <c r="I904" s="175" t="s">
        <v>326</v>
      </c>
      <c r="J904" s="179" t="s">
        <v>326</v>
      </c>
      <c r="K904" s="179" t="s">
        <v>231</v>
      </c>
      <c r="L904" s="176" t="s">
        <v>415</v>
      </c>
      <c r="M904" s="180">
        <v>3482868</v>
      </c>
      <c r="N904" s="181">
        <v>0</v>
      </c>
      <c r="O904" s="181">
        <v>0</v>
      </c>
      <c r="P904" s="181">
        <v>0</v>
      </c>
      <c r="Q904" s="181">
        <v>0</v>
      </c>
      <c r="R904" s="181">
        <v>0</v>
      </c>
      <c r="S904" s="182">
        <f t="shared" si="55"/>
        <v>3482868</v>
      </c>
      <c r="T904" s="183"/>
    </row>
    <row r="905" spans="1:20" ht="11.25">
      <c r="A905" s="187" t="s">
        <v>273</v>
      </c>
      <c r="B905" s="175">
        <v>7</v>
      </c>
      <c r="C905" s="176" t="s">
        <v>469</v>
      </c>
      <c r="D905" s="176" t="s">
        <v>394</v>
      </c>
      <c r="E905" s="177" t="s">
        <v>417</v>
      </c>
      <c r="F905" s="197" t="s">
        <v>290</v>
      </c>
      <c r="G905" s="176" t="s">
        <v>334</v>
      </c>
      <c r="H905" s="178" t="s">
        <v>325</v>
      </c>
      <c r="I905" s="175" t="s">
        <v>326</v>
      </c>
      <c r="J905" s="179" t="s">
        <v>326</v>
      </c>
      <c r="K905" s="179" t="s">
        <v>231</v>
      </c>
      <c r="L905" s="176" t="s">
        <v>415</v>
      </c>
      <c r="M905" s="180">
        <v>14000</v>
      </c>
      <c r="N905" s="181">
        <v>0</v>
      </c>
      <c r="O905" s="181">
        <v>0</v>
      </c>
      <c r="P905" s="181">
        <v>0</v>
      </c>
      <c r="Q905" s="181">
        <v>0</v>
      </c>
      <c r="R905" s="181">
        <v>0</v>
      </c>
      <c r="S905" s="182">
        <f t="shared" si="55"/>
        <v>14000</v>
      </c>
      <c r="T905" s="183"/>
    </row>
    <row r="906" spans="1:20" ht="11.25">
      <c r="A906" s="187" t="s">
        <v>273</v>
      </c>
      <c r="B906" s="175">
        <v>7</v>
      </c>
      <c r="C906" s="176" t="s">
        <v>469</v>
      </c>
      <c r="D906" s="176" t="s">
        <v>394</v>
      </c>
      <c r="E906" s="176" t="s">
        <v>350</v>
      </c>
      <c r="F906" s="197" t="s">
        <v>472</v>
      </c>
      <c r="G906" s="176" t="s">
        <v>334</v>
      </c>
      <c r="H906" s="178" t="s">
        <v>325</v>
      </c>
      <c r="I906" s="175" t="s">
        <v>326</v>
      </c>
      <c r="J906" s="179" t="s">
        <v>326</v>
      </c>
      <c r="K906" s="179" t="s">
        <v>231</v>
      </c>
      <c r="L906" s="176" t="s">
        <v>416</v>
      </c>
      <c r="M906" s="180">
        <v>8949876</v>
      </c>
      <c r="N906" s="181">
        <v>0</v>
      </c>
      <c r="O906" s="181">
        <v>0</v>
      </c>
      <c r="P906" s="181">
        <v>4844344</v>
      </c>
      <c r="Q906" s="181">
        <v>0</v>
      </c>
      <c r="R906" s="181">
        <v>0</v>
      </c>
      <c r="S906" s="182">
        <f t="shared" si="55"/>
        <v>4105532</v>
      </c>
      <c r="T906" s="183"/>
    </row>
    <row r="907" spans="1:20" ht="11.25">
      <c r="A907" s="187" t="s">
        <v>273</v>
      </c>
      <c r="B907" s="175">
        <v>7</v>
      </c>
      <c r="C907" s="176" t="s">
        <v>469</v>
      </c>
      <c r="D907" s="176" t="s">
        <v>394</v>
      </c>
      <c r="E907" s="176" t="s">
        <v>417</v>
      </c>
      <c r="F907" s="197" t="s">
        <v>472</v>
      </c>
      <c r="G907" s="176" t="s">
        <v>334</v>
      </c>
      <c r="H907" s="178" t="s">
        <v>325</v>
      </c>
      <c r="I907" s="175" t="s">
        <v>326</v>
      </c>
      <c r="J907" s="179" t="s">
        <v>326</v>
      </c>
      <c r="K907" s="179" t="s">
        <v>231</v>
      </c>
      <c r="L907" s="176" t="s">
        <v>418</v>
      </c>
      <c r="M907" s="180">
        <v>2584500</v>
      </c>
      <c r="N907" s="181">
        <v>0</v>
      </c>
      <c r="O907" s="181">
        <v>0</v>
      </c>
      <c r="P907" s="181">
        <v>0</v>
      </c>
      <c r="Q907" s="181">
        <v>0</v>
      </c>
      <c r="R907" s="181">
        <v>0</v>
      </c>
      <c r="S907" s="182">
        <f t="shared" si="55"/>
        <v>2584500</v>
      </c>
      <c r="T907" s="183"/>
    </row>
    <row r="908" spans="1:20" ht="11.25">
      <c r="A908" s="187" t="s">
        <v>273</v>
      </c>
      <c r="B908" s="175">
        <v>7</v>
      </c>
      <c r="C908" s="176" t="s">
        <v>469</v>
      </c>
      <c r="D908" s="176" t="s">
        <v>394</v>
      </c>
      <c r="E908" s="176" t="s">
        <v>350</v>
      </c>
      <c r="F908" s="197" t="s">
        <v>291</v>
      </c>
      <c r="G908" s="176" t="s">
        <v>334</v>
      </c>
      <c r="H908" s="178" t="s">
        <v>325</v>
      </c>
      <c r="I908" s="175" t="s">
        <v>326</v>
      </c>
      <c r="J908" s="179" t="s">
        <v>326</v>
      </c>
      <c r="K908" s="179" t="s">
        <v>231</v>
      </c>
      <c r="L908" s="176" t="s">
        <v>467</v>
      </c>
      <c r="M908" s="180">
        <v>511525</v>
      </c>
      <c r="N908" s="181">
        <v>0</v>
      </c>
      <c r="O908" s="181">
        <v>0</v>
      </c>
      <c r="P908" s="181">
        <v>0</v>
      </c>
      <c r="Q908" s="181">
        <v>0</v>
      </c>
      <c r="R908" s="181">
        <v>0</v>
      </c>
      <c r="S908" s="182">
        <f t="shared" si="55"/>
        <v>511525</v>
      </c>
      <c r="T908" s="183"/>
    </row>
    <row r="909" spans="1:20" ht="11.25">
      <c r="A909" s="187" t="s">
        <v>274</v>
      </c>
      <c r="B909" s="175">
        <v>8</v>
      </c>
      <c r="C909" s="176" t="s">
        <v>469</v>
      </c>
      <c r="D909" s="176" t="s">
        <v>394</v>
      </c>
      <c r="E909" s="177" t="s">
        <v>414</v>
      </c>
      <c r="F909" s="197" t="s">
        <v>290</v>
      </c>
      <c r="G909" s="176" t="s">
        <v>334</v>
      </c>
      <c r="H909" s="178" t="s">
        <v>325</v>
      </c>
      <c r="I909" s="175" t="s">
        <v>326</v>
      </c>
      <c r="J909" s="179" t="s">
        <v>326</v>
      </c>
      <c r="K909" s="179" t="s">
        <v>231</v>
      </c>
      <c r="L909" s="176" t="s">
        <v>415</v>
      </c>
      <c r="M909" s="180">
        <v>1400416</v>
      </c>
      <c r="N909" s="181">
        <v>0</v>
      </c>
      <c r="O909" s="181">
        <v>0</v>
      </c>
      <c r="P909" s="181">
        <v>0</v>
      </c>
      <c r="Q909" s="181">
        <v>0</v>
      </c>
      <c r="R909" s="181">
        <v>0</v>
      </c>
      <c r="S909" s="182">
        <f t="shared" si="55"/>
        <v>1400416</v>
      </c>
      <c r="T909" s="183"/>
    </row>
    <row r="910" spans="1:20" ht="11.25">
      <c r="A910" s="187" t="s">
        <v>274</v>
      </c>
      <c r="B910" s="175">
        <v>8</v>
      </c>
      <c r="C910" s="176" t="s">
        <v>469</v>
      </c>
      <c r="D910" s="176" t="s">
        <v>394</v>
      </c>
      <c r="E910" s="176" t="s">
        <v>350</v>
      </c>
      <c r="F910" s="197" t="s">
        <v>472</v>
      </c>
      <c r="G910" s="176" t="s">
        <v>334</v>
      </c>
      <c r="H910" s="178" t="s">
        <v>325</v>
      </c>
      <c r="I910" s="175" t="s">
        <v>326</v>
      </c>
      <c r="J910" s="179" t="s">
        <v>326</v>
      </c>
      <c r="K910" s="179" t="s">
        <v>231</v>
      </c>
      <c r="L910" s="176" t="s">
        <v>416</v>
      </c>
      <c r="M910" s="180">
        <v>8565755</v>
      </c>
      <c r="N910" s="181">
        <v>0</v>
      </c>
      <c r="O910" s="181">
        <v>0</v>
      </c>
      <c r="P910" s="181">
        <v>6130805</v>
      </c>
      <c r="Q910" s="181">
        <v>0</v>
      </c>
      <c r="R910" s="181">
        <v>0</v>
      </c>
      <c r="S910" s="182">
        <f t="shared" si="55"/>
        <v>2434950</v>
      </c>
      <c r="T910" s="183"/>
    </row>
    <row r="911" spans="1:20" ht="11.25">
      <c r="A911" s="187" t="s">
        <v>274</v>
      </c>
      <c r="B911" s="175">
        <v>8</v>
      </c>
      <c r="C911" s="176" t="s">
        <v>469</v>
      </c>
      <c r="D911" s="176" t="s">
        <v>394</v>
      </c>
      <c r="E911" s="176" t="s">
        <v>417</v>
      </c>
      <c r="F911" s="197" t="s">
        <v>472</v>
      </c>
      <c r="G911" s="176" t="s">
        <v>334</v>
      </c>
      <c r="H911" s="178" t="s">
        <v>325</v>
      </c>
      <c r="I911" s="175" t="s">
        <v>326</v>
      </c>
      <c r="J911" s="179" t="s">
        <v>326</v>
      </c>
      <c r="K911" s="179" t="s">
        <v>231</v>
      </c>
      <c r="L911" s="176" t="s">
        <v>418</v>
      </c>
      <c r="M911" s="180">
        <v>1224325</v>
      </c>
      <c r="N911" s="181">
        <v>0</v>
      </c>
      <c r="O911" s="181">
        <v>0</v>
      </c>
      <c r="P911" s="181">
        <v>0</v>
      </c>
      <c r="Q911" s="181">
        <v>0</v>
      </c>
      <c r="R911" s="181">
        <v>0</v>
      </c>
      <c r="S911" s="182">
        <f t="shared" si="55"/>
        <v>1224325</v>
      </c>
      <c r="T911" s="183"/>
    </row>
    <row r="912" spans="1:20" ht="11.25">
      <c r="A912" s="187" t="s">
        <v>275</v>
      </c>
      <c r="B912" s="175">
        <v>9</v>
      </c>
      <c r="C912" s="176" t="s">
        <v>469</v>
      </c>
      <c r="D912" s="176" t="s">
        <v>394</v>
      </c>
      <c r="E912" s="177" t="s">
        <v>414</v>
      </c>
      <c r="F912" s="197" t="s">
        <v>290</v>
      </c>
      <c r="G912" s="176" t="s">
        <v>334</v>
      </c>
      <c r="H912" s="178" t="s">
        <v>325</v>
      </c>
      <c r="I912" s="175" t="s">
        <v>326</v>
      </c>
      <c r="J912" s="179" t="s">
        <v>326</v>
      </c>
      <c r="K912" s="179" t="s">
        <v>231</v>
      </c>
      <c r="L912" s="176" t="s">
        <v>415</v>
      </c>
      <c r="M912" s="180">
        <v>7323750</v>
      </c>
      <c r="N912" s="181">
        <v>0</v>
      </c>
      <c r="O912" s="181">
        <v>0</v>
      </c>
      <c r="P912" s="181">
        <v>0</v>
      </c>
      <c r="Q912" s="181">
        <v>0</v>
      </c>
      <c r="R912" s="181">
        <v>0</v>
      </c>
      <c r="S912" s="182">
        <f t="shared" si="55"/>
        <v>7323750</v>
      </c>
      <c r="T912" s="183"/>
    </row>
    <row r="913" spans="1:20" ht="11.25">
      <c r="A913" s="187" t="s">
        <v>275</v>
      </c>
      <c r="B913" s="175">
        <v>9</v>
      </c>
      <c r="C913" s="176" t="s">
        <v>469</v>
      </c>
      <c r="D913" s="176" t="s">
        <v>394</v>
      </c>
      <c r="E913" s="176" t="s">
        <v>350</v>
      </c>
      <c r="F913" s="197" t="s">
        <v>472</v>
      </c>
      <c r="G913" s="176" t="s">
        <v>334</v>
      </c>
      <c r="H913" s="178" t="s">
        <v>325</v>
      </c>
      <c r="I913" s="175" t="s">
        <v>326</v>
      </c>
      <c r="J913" s="179" t="s">
        <v>326</v>
      </c>
      <c r="K913" s="179" t="s">
        <v>231</v>
      </c>
      <c r="L913" s="176" t="s">
        <v>416</v>
      </c>
      <c r="M913" s="180">
        <v>7446281</v>
      </c>
      <c r="N913" s="181">
        <v>0</v>
      </c>
      <c r="O913" s="181">
        <v>0</v>
      </c>
      <c r="P913" s="181">
        <v>2013950</v>
      </c>
      <c r="Q913" s="181">
        <v>0</v>
      </c>
      <c r="R913" s="181">
        <v>0</v>
      </c>
      <c r="S913" s="182">
        <f t="shared" si="55"/>
        <v>5432331</v>
      </c>
      <c r="T913" s="183"/>
    </row>
    <row r="914" spans="1:20" ht="11.25">
      <c r="A914" s="187" t="s">
        <v>275</v>
      </c>
      <c r="B914" s="175">
        <v>9</v>
      </c>
      <c r="C914" s="176" t="s">
        <v>469</v>
      </c>
      <c r="D914" s="176" t="s">
        <v>394</v>
      </c>
      <c r="E914" s="176" t="s">
        <v>417</v>
      </c>
      <c r="F914" s="197" t="s">
        <v>472</v>
      </c>
      <c r="G914" s="176" t="s">
        <v>334</v>
      </c>
      <c r="H914" s="178" t="s">
        <v>325</v>
      </c>
      <c r="I914" s="175" t="s">
        <v>326</v>
      </c>
      <c r="J914" s="179" t="s">
        <v>326</v>
      </c>
      <c r="K914" s="179" t="s">
        <v>231</v>
      </c>
      <c r="L914" s="176" t="s">
        <v>418</v>
      </c>
      <c r="M914" s="180">
        <v>1400000</v>
      </c>
      <c r="N914" s="181">
        <v>0</v>
      </c>
      <c r="O914" s="181">
        <v>0</v>
      </c>
      <c r="P914" s="181">
        <v>0</v>
      </c>
      <c r="Q914" s="181">
        <v>0</v>
      </c>
      <c r="R914" s="181">
        <v>0</v>
      </c>
      <c r="S914" s="182">
        <f t="shared" si="55"/>
        <v>1400000</v>
      </c>
      <c r="T914" s="183"/>
    </row>
    <row r="915" spans="1:20" ht="11.25">
      <c r="A915" s="187" t="s">
        <v>275</v>
      </c>
      <c r="B915" s="175">
        <v>9</v>
      </c>
      <c r="C915" s="176" t="s">
        <v>469</v>
      </c>
      <c r="D915" s="176" t="s">
        <v>394</v>
      </c>
      <c r="E915" s="176" t="s">
        <v>345</v>
      </c>
      <c r="F915" s="197" t="s">
        <v>291</v>
      </c>
      <c r="G915" s="176" t="s">
        <v>334</v>
      </c>
      <c r="H915" s="178" t="s">
        <v>325</v>
      </c>
      <c r="I915" s="175" t="s">
        <v>326</v>
      </c>
      <c r="J915" s="179" t="s">
        <v>326</v>
      </c>
      <c r="K915" s="179" t="s">
        <v>231</v>
      </c>
      <c r="L915" s="176" t="s">
        <v>460</v>
      </c>
      <c r="M915" s="180">
        <v>570010</v>
      </c>
      <c r="N915" s="181">
        <v>0</v>
      </c>
      <c r="O915" s="181">
        <v>0</v>
      </c>
      <c r="P915" s="181">
        <v>0</v>
      </c>
      <c r="Q915" s="181">
        <v>0</v>
      </c>
      <c r="R915" s="181">
        <v>0</v>
      </c>
      <c r="S915" s="182">
        <f t="shared" si="55"/>
        <v>570010</v>
      </c>
      <c r="T915" s="183"/>
    </row>
    <row r="916" spans="1:20" ht="11.25">
      <c r="A916" s="187" t="s">
        <v>276</v>
      </c>
      <c r="B916" s="175">
        <v>10</v>
      </c>
      <c r="C916" s="176" t="s">
        <v>469</v>
      </c>
      <c r="D916" s="176" t="s">
        <v>394</v>
      </c>
      <c r="E916" s="177" t="s">
        <v>414</v>
      </c>
      <c r="F916" s="197" t="s">
        <v>290</v>
      </c>
      <c r="G916" s="176" t="s">
        <v>334</v>
      </c>
      <c r="H916" s="178" t="s">
        <v>325</v>
      </c>
      <c r="I916" s="175" t="s">
        <v>326</v>
      </c>
      <c r="J916" s="179" t="s">
        <v>326</v>
      </c>
      <c r="K916" s="179" t="s">
        <v>231</v>
      </c>
      <c r="L916" s="176" t="s">
        <v>415</v>
      </c>
      <c r="M916" s="180">
        <v>0</v>
      </c>
      <c r="N916" s="181">
        <v>0</v>
      </c>
      <c r="O916" s="181">
        <v>0</v>
      </c>
      <c r="P916" s="181">
        <v>0</v>
      </c>
      <c r="Q916" s="181">
        <v>0</v>
      </c>
      <c r="R916" s="181">
        <v>0</v>
      </c>
      <c r="S916" s="182">
        <f t="shared" si="55"/>
        <v>0</v>
      </c>
      <c r="T916" s="183"/>
    </row>
    <row r="917" spans="1:20" ht="11.25">
      <c r="A917" s="187" t="s">
        <v>276</v>
      </c>
      <c r="B917" s="175">
        <v>10</v>
      </c>
      <c r="C917" s="176" t="s">
        <v>469</v>
      </c>
      <c r="D917" s="176" t="s">
        <v>394</v>
      </c>
      <c r="E917" s="176" t="s">
        <v>350</v>
      </c>
      <c r="F917" s="197" t="s">
        <v>472</v>
      </c>
      <c r="G917" s="176" t="s">
        <v>334</v>
      </c>
      <c r="H917" s="178" t="s">
        <v>325</v>
      </c>
      <c r="I917" s="175" t="s">
        <v>326</v>
      </c>
      <c r="J917" s="179" t="s">
        <v>326</v>
      </c>
      <c r="K917" s="179" t="s">
        <v>231</v>
      </c>
      <c r="L917" s="176" t="s">
        <v>416</v>
      </c>
      <c r="M917" s="180">
        <v>7330023</v>
      </c>
      <c r="N917" s="181">
        <v>0</v>
      </c>
      <c r="O917" s="181">
        <v>0</v>
      </c>
      <c r="P917" s="181">
        <v>2031621</v>
      </c>
      <c r="Q917" s="181">
        <v>0</v>
      </c>
      <c r="R917" s="181">
        <v>0</v>
      </c>
      <c r="S917" s="182">
        <f t="shared" si="55"/>
        <v>5298402</v>
      </c>
      <c r="T917" s="183"/>
    </row>
    <row r="918" spans="1:20" ht="11.25">
      <c r="A918" s="187" t="s">
        <v>276</v>
      </c>
      <c r="B918" s="175">
        <v>10</v>
      </c>
      <c r="C918" s="176" t="s">
        <v>469</v>
      </c>
      <c r="D918" s="176" t="s">
        <v>394</v>
      </c>
      <c r="E918" s="176" t="s">
        <v>417</v>
      </c>
      <c r="F918" s="197" t="s">
        <v>472</v>
      </c>
      <c r="G918" s="176" t="s">
        <v>334</v>
      </c>
      <c r="H918" s="178" t="s">
        <v>325</v>
      </c>
      <c r="I918" s="175" t="s">
        <v>326</v>
      </c>
      <c r="J918" s="179" t="s">
        <v>326</v>
      </c>
      <c r="K918" s="179" t="s">
        <v>231</v>
      </c>
      <c r="L918" s="176" t="s">
        <v>418</v>
      </c>
      <c r="M918" s="180">
        <v>3714000</v>
      </c>
      <c r="N918" s="181">
        <v>0</v>
      </c>
      <c r="O918" s="181">
        <v>0</v>
      </c>
      <c r="P918" s="181">
        <v>0</v>
      </c>
      <c r="Q918" s="181">
        <v>0</v>
      </c>
      <c r="R918" s="181">
        <v>0</v>
      </c>
      <c r="S918" s="182">
        <f t="shared" si="55"/>
        <v>3714000</v>
      </c>
      <c r="T918" s="183"/>
    </row>
    <row r="919" spans="1:20" ht="11.25">
      <c r="A919" s="187" t="s">
        <v>277</v>
      </c>
      <c r="B919" s="175">
        <v>11</v>
      </c>
      <c r="C919" s="176" t="s">
        <v>469</v>
      </c>
      <c r="D919" s="176" t="s">
        <v>394</v>
      </c>
      <c r="E919" s="177" t="s">
        <v>414</v>
      </c>
      <c r="F919" s="197" t="s">
        <v>290</v>
      </c>
      <c r="G919" s="176" t="s">
        <v>334</v>
      </c>
      <c r="H919" s="178" t="s">
        <v>325</v>
      </c>
      <c r="I919" s="175" t="s">
        <v>326</v>
      </c>
      <c r="J919" s="179" t="s">
        <v>326</v>
      </c>
      <c r="K919" s="179" t="s">
        <v>231</v>
      </c>
      <c r="L919" s="176" t="s">
        <v>415</v>
      </c>
      <c r="M919" s="180">
        <v>0</v>
      </c>
      <c r="N919" s="181">
        <v>0</v>
      </c>
      <c r="O919" s="181">
        <v>0</v>
      </c>
      <c r="P919" s="181">
        <v>0</v>
      </c>
      <c r="Q919" s="181">
        <v>0</v>
      </c>
      <c r="R919" s="181">
        <v>0</v>
      </c>
      <c r="S919" s="182">
        <f t="shared" si="55"/>
        <v>0</v>
      </c>
      <c r="T919" s="183"/>
    </row>
    <row r="920" spans="1:20" ht="11.25">
      <c r="A920" s="187" t="s">
        <v>277</v>
      </c>
      <c r="B920" s="175">
        <v>11</v>
      </c>
      <c r="C920" s="176" t="s">
        <v>469</v>
      </c>
      <c r="D920" s="176" t="s">
        <v>394</v>
      </c>
      <c r="E920" s="176" t="s">
        <v>350</v>
      </c>
      <c r="F920" s="197" t="s">
        <v>472</v>
      </c>
      <c r="G920" s="176" t="s">
        <v>334</v>
      </c>
      <c r="H920" s="178" t="s">
        <v>325</v>
      </c>
      <c r="I920" s="175" t="s">
        <v>326</v>
      </c>
      <c r="J920" s="179" t="s">
        <v>326</v>
      </c>
      <c r="K920" s="179" t="s">
        <v>231</v>
      </c>
      <c r="L920" s="176" t="s">
        <v>416</v>
      </c>
      <c r="M920" s="180">
        <v>6467131</v>
      </c>
      <c r="N920" s="181">
        <v>0</v>
      </c>
      <c r="O920" s="181">
        <v>0</v>
      </c>
      <c r="P920" s="181">
        <v>0</v>
      </c>
      <c r="Q920" s="181">
        <v>0</v>
      </c>
      <c r="R920" s="181">
        <v>0</v>
      </c>
      <c r="S920" s="182">
        <f t="shared" si="55"/>
        <v>6467131</v>
      </c>
      <c r="T920" s="183"/>
    </row>
    <row r="921" spans="1:20" ht="11.25">
      <c r="A921" s="187" t="s">
        <v>277</v>
      </c>
      <c r="B921" s="175">
        <v>11</v>
      </c>
      <c r="C921" s="176" t="s">
        <v>469</v>
      </c>
      <c r="D921" s="176" t="s">
        <v>394</v>
      </c>
      <c r="E921" s="176" t="s">
        <v>417</v>
      </c>
      <c r="F921" s="197" t="s">
        <v>291</v>
      </c>
      <c r="G921" s="176" t="s">
        <v>334</v>
      </c>
      <c r="H921" s="178" t="s">
        <v>325</v>
      </c>
      <c r="I921" s="175" t="s">
        <v>326</v>
      </c>
      <c r="J921" s="179" t="s">
        <v>326</v>
      </c>
      <c r="K921" s="179" t="s">
        <v>231</v>
      </c>
      <c r="L921" s="176" t="s">
        <v>468</v>
      </c>
      <c r="M921" s="180">
        <v>315951</v>
      </c>
      <c r="N921" s="181">
        <v>0</v>
      </c>
      <c r="O921" s="181">
        <v>0</v>
      </c>
      <c r="P921" s="181">
        <v>0</v>
      </c>
      <c r="Q921" s="181">
        <v>0</v>
      </c>
      <c r="R921" s="181">
        <v>0</v>
      </c>
      <c r="S921" s="182">
        <f t="shared" si="55"/>
        <v>315951</v>
      </c>
      <c r="T921" s="183"/>
    </row>
    <row r="922" spans="1:20" ht="11.25">
      <c r="A922" s="187" t="s">
        <v>278</v>
      </c>
      <c r="B922" s="175">
        <v>12</v>
      </c>
      <c r="C922" s="176" t="s">
        <v>469</v>
      </c>
      <c r="D922" s="176" t="s">
        <v>394</v>
      </c>
      <c r="E922" s="177" t="s">
        <v>414</v>
      </c>
      <c r="F922" s="197" t="s">
        <v>290</v>
      </c>
      <c r="G922" s="176" t="s">
        <v>334</v>
      </c>
      <c r="H922" s="178" t="s">
        <v>325</v>
      </c>
      <c r="I922" s="175" t="s">
        <v>326</v>
      </c>
      <c r="J922" s="179" t="s">
        <v>326</v>
      </c>
      <c r="K922" s="179" t="s">
        <v>231</v>
      </c>
      <c r="L922" s="176" t="s">
        <v>415</v>
      </c>
      <c r="M922" s="180">
        <v>0</v>
      </c>
      <c r="N922" s="181">
        <v>0</v>
      </c>
      <c r="O922" s="181">
        <v>0</v>
      </c>
      <c r="P922" s="181">
        <v>0</v>
      </c>
      <c r="Q922" s="181">
        <v>0</v>
      </c>
      <c r="R922" s="181">
        <v>0</v>
      </c>
      <c r="S922" s="182">
        <f t="shared" si="55"/>
        <v>0</v>
      </c>
      <c r="T922" s="183"/>
    </row>
    <row r="923" spans="1:20" ht="11.25">
      <c r="A923" s="187" t="s">
        <v>278</v>
      </c>
      <c r="B923" s="175">
        <v>12</v>
      </c>
      <c r="C923" s="176" t="s">
        <v>469</v>
      </c>
      <c r="D923" s="176" t="s">
        <v>394</v>
      </c>
      <c r="E923" s="176" t="s">
        <v>350</v>
      </c>
      <c r="F923" s="197" t="s">
        <v>472</v>
      </c>
      <c r="G923" s="176" t="s">
        <v>334</v>
      </c>
      <c r="H923" s="178" t="s">
        <v>325</v>
      </c>
      <c r="I923" s="175" t="s">
        <v>326</v>
      </c>
      <c r="J923" s="179" t="s">
        <v>326</v>
      </c>
      <c r="K923" s="179" t="s">
        <v>231</v>
      </c>
      <c r="L923" s="176" t="s">
        <v>416</v>
      </c>
      <c r="M923" s="180">
        <v>5187648</v>
      </c>
      <c r="N923" s="181">
        <v>0</v>
      </c>
      <c r="O923" s="181">
        <v>0</v>
      </c>
      <c r="P923" s="181">
        <v>5187648</v>
      </c>
      <c r="Q923" s="181">
        <v>0</v>
      </c>
      <c r="R923" s="181">
        <v>0</v>
      </c>
      <c r="S923" s="182">
        <f t="shared" si="55"/>
        <v>0</v>
      </c>
      <c r="T923" s="183"/>
    </row>
    <row r="924" spans="1:20" ht="11.25">
      <c r="A924" s="187" t="s">
        <v>278</v>
      </c>
      <c r="B924" s="175">
        <v>12</v>
      </c>
      <c r="C924" s="176" t="s">
        <v>469</v>
      </c>
      <c r="D924" s="176" t="s">
        <v>394</v>
      </c>
      <c r="E924" s="176" t="s">
        <v>417</v>
      </c>
      <c r="F924" s="197" t="s">
        <v>472</v>
      </c>
      <c r="G924" s="176" t="s">
        <v>334</v>
      </c>
      <c r="H924" s="178" t="s">
        <v>325</v>
      </c>
      <c r="I924" s="175" t="s">
        <v>326</v>
      </c>
      <c r="J924" s="179" t="s">
        <v>326</v>
      </c>
      <c r="K924" s="179" t="s">
        <v>231</v>
      </c>
      <c r="L924" s="176" t="s">
        <v>418</v>
      </c>
      <c r="M924" s="180">
        <v>0</v>
      </c>
      <c r="N924" s="181">
        <v>0</v>
      </c>
      <c r="O924" s="181">
        <v>0</v>
      </c>
      <c r="P924" s="181">
        <v>0</v>
      </c>
      <c r="Q924" s="181">
        <v>0</v>
      </c>
      <c r="R924" s="181">
        <v>0</v>
      </c>
      <c r="S924" s="182">
        <f t="shared" si="55"/>
        <v>0</v>
      </c>
      <c r="T924" s="183"/>
    </row>
    <row r="925" spans="1:20" ht="11.25">
      <c r="A925" s="187" t="s">
        <v>279</v>
      </c>
      <c r="B925" s="175">
        <v>13</v>
      </c>
      <c r="C925" s="176" t="s">
        <v>469</v>
      </c>
      <c r="D925" s="176" t="s">
        <v>394</v>
      </c>
      <c r="E925" s="177" t="s">
        <v>414</v>
      </c>
      <c r="F925" s="197" t="s">
        <v>290</v>
      </c>
      <c r="G925" s="176" t="s">
        <v>334</v>
      </c>
      <c r="H925" s="178" t="s">
        <v>325</v>
      </c>
      <c r="I925" s="175" t="s">
        <v>326</v>
      </c>
      <c r="J925" s="179" t="s">
        <v>326</v>
      </c>
      <c r="K925" s="179" t="s">
        <v>231</v>
      </c>
      <c r="L925" s="176" t="s">
        <v>415</v>
      </c>
      <c r="M925" s="180">
        <v>1457701</v>
      </c>
      <c r="N925" s="181">
        <v>0</v>
      </c>
      <c r="O925" s="181">
        <v>0</v>
      </c>
      <c r="P925" s="181">
        <v>0</v>
      </c>
      <c r="Q925" s="181">
        <v>0</v>
      </c>
      <c r="R925" s="181">
        <v>0</v>
      </c>
      <c r="S925" s="182">
        <f t="shared" si="55"/>
        <v>1457701</v>
      </c>
      <c r="T925" s="183"/>
    </row>
    <row r="926" spans="1:20" ht="11.25">
      <c r="A926" s="187" t="s">
        <v>279</v>
      </c>
      <c r="B926" s="175">
        <v>13</v>
      </c>
      <c r="C926" s="176" t="s">
        <v>469</v>
      </c>
      <c r="D926" s="176" t="s">
        <v>394</v>
      </c>
      <c r="E926" s="176" t="s">
        <v>350</v>
      </c>
      <c r="F926" s="197" t="s">
        <v>472</v>
      </c>
      <c r="G926" s="176" t="s">
        <v>334</v>
      </c>
      <c r="H926" s="178" t="s">
        <v>325</v>
      </c>
      <c r="I926" s="175" t="s">
        <v>326</v>
      </c>
      <c r="J926" s="179" t="s">
        <v>326</v>
      </c>
      <c r="K926" s="179" t="s">
        <v>231</v>
      </c>
      <c r="L926" s="176" t="s">
        <v>416</v>
      </c>
      <c r="M926" s="180">
        <v>1035531</v>
      </c>
      <c r="N926" s="181">
        <v>0</v>
      </c>
      <c r="O926" s="181">
        <v>0</v>
      </c>
      <c r="P926" s="181">
        <v>0</v>
      </c>
      <c r="Q926" s="181">
        <v>0</v>
      </c>
      <c r="R926" s="181">
        <v>0</v>
      </c>
      <c r="S926" s="182">
        <f t="shared" si="55"/>
        <v>1035531</v>
      </c>
      <c r="T926" s="183"/>
    </row>
    <row r="927" spans="1:20" ht="11.25">
      <c r="A927" s="187" t="s">
        <v>279</v>
      </c>
      <c r="B927" s="175">
        <v>13</v>
      </c>
      <c r="C927" s="176" t="s">
        <v>469</v>
      </c>
      <c r="D927" s="176" t="s">
        <v>394</v>
      </c>
      <c r="E927" s="176" t="s">
        <v>417</v>
      </c>
      <c r="F927" s="197" t="s">
        <v>472</v>
      </c>
      <c r="G927" s="176" t="s">
        <v>334</v>
      </c>
      <c r="H927" s="178" t="s">
        <v>325</v>
      </c>
      <c r="I927" s="175" t="s">
        <v>326</v>
      </c>
      <c r="J927" s="179" t="s">
        <v>326</v>
      </c>
      <c r="K927" s="179" t="s">
        <v>231</v>
      </c>
      <c r="L927" s="176" t="s">
        <v>418</v>
      </c>
      <c r="M927" s="180">
        <v>367000</v>
      </c>
      <c r="N927" s="181">
        <v>0</v>
      </c>
      <c r="O927" s="181">
        <v>0</v>
      </c>
      <c r="P927" s="181">
        <v>0</v>
      </c>
      <c r="Q927" s="181">
        <v>0</v>
      </c>
      <c r="R927" s="181">
        <v>0</v>
      </c>
      <c r="S927" s="182">
        <f t="shared" si="55"/>
        <v>367000</v>
      </c>
      <c r="T927" s="183"/>
    </row>
    <row r="928" spans="1:20" ht="11.25">
      <c r="A928" s="175" t="s">
        <v>265</v>
      </c>
      <c r="B928" s="175">
        <v>0</v>
      </c>
      <c r="C928" s="176" t="s">
        <v>469</v>
      </c>
      <c r="D928" s="176" t="s">
        <v>394</v>
      </c>
      <c r="E928" s="176" t="s">
        <v>417</v>
      </c>
      <c r="F928" s="197" t="s">
        <v>472</v>
      </c>
      <c r="G928" s="176" t="s">
        <v>334</v>
      </c>
      <c r="H928" s="178" t="s">
        <v>325</v>
      </c>
      <c r="I928" s="175" t="s">
        <v>326</v>
      </c>
      <c r="J928" s="179" t="s">
        <v>326</v>
      </c>
      <c r="K928" s="179" t="s">
        <v>231</v>
      </c>
      <c r="L928" s="176" t="s">
        <v>418</v>
      </c>
      <c r="M928" s="180">
        <v>100000</v>
      </c>
      <c r="N928" s="181">
        <v>0</v>
      </c>
      <c r="O928" s="181">
        <v>0</v>
      </c>
      <c r="P928" s="181">
        <v>0</v>
      </c>
      <c r="Q928" s="181">
        <v>0</v>
      </c>
      <c r="R928" s="181">
        <v>0</v>
      </c>
      <c r="S928" s="182">
        <f t="shared" si="55"/>
        <v>100000</v>
      </c>
      <c r="T928" s="183"/>
    </row>
    <row r="929" spans="1:20" ht="11.25">
      <c r="A929" s="175" t="s">
        <v>280</v>
      </c>
      <c r="B929" s="175">
        <v>14</v>
      </c>
      <c r="C929" s="176" t="s">
        <v>469</v>
      </c>
      <c r="D929" s="176" t="s">
        <v>394</v>
      </c>
      <c r="E929" s="177" t="s">
        <v>414</v>
      </c>
      <c r="F929" s="197" t="s">
        <v>290</v>
      </c>
      <c r="G929" s="176" t="s">
        <v>334</v>
      </c>
      <c r="H929" s="178" t="s">
        <v>325</v>
      </c>
      <c r="I929" s="175" t="s">
        <v>326</v>
      </c>
      <c r="J929" s="179" t="s">
        <v>326</v>
      </c>
      <c r="K929" s="179" t="s">
        <v>231</v>
      </c>
      <c r="L929" s="176" t="s">
        <v>415</v>
      </c>
      <c r="M929" s="180">
        <v>2838477</v>
      </c>
      <c r="N929" s="181">
        <v>0</v>
      </c>
      <c r="O929" s="181">
        <v>0</v>
      </c>
      <c r="P929" s="181">
        <v>0</v>
      </c>
      <c r="Q929" s="181">
        <v>0</v>
      </c>
      <c r="R929" s="181">
        <v>0</v>
      </c>
      <c r="S929" s="182">
        <f t="shared" si="55"/>
        <v>2838477</v>
      </c>
      <c r="T929" s="183"/>
    </row>
    <row r="930" spans="1:20" ht="11.25">
      <c r="A930" s="175" t="s">
        <v>280</v>
      </c>
      <c r="B930" s="175">
        <v>14</v>
      </c>
      <c r="C930" s="176" t="s">
        <v>469</v>
      </c>
      <c r="D930" s="176" t="s">
        <v>394</v>
      </c>
      <c r="E930" s="176" t="s">
        <v>350</v>
      </c>
      <c r="F930" s="197" t="s">
        <v>472</v>
      </c>
      <c r="G930" s="176" t="s">
        <v>334</v>
      </c>
      <c r="H930" s="178" t="s">
        <v>325</v>
      </c>
      <c r="I930" s="175" t="s">
        <v>326</v>
      </c>
      <c r="J930" s="179" t="s">
        <v>326</v>
      </c>
      <c r="K930" s="179" t="s">
        <v>231</v>
      </c>
      <c r="L930" s="176" t="s">
        <v>416</v>
      </c>
      <c r="M930" s="180">
        <v>1337411</v>
      </c>
      <c r="N930" s="181">
        <v>0</v>
      </c>
      <c r="O930" s="181">
        <v>0</v>
      </c>
      <c r="P930" s="181">
        <v>0</v>
      </c>
      <c r="Q930" s="181">
        <v>0</v>
      </c>
      <c r="R930" s="181">
        <v>0</v>
      </c>
      <c r="S930" s="182">
        <f t="shared" si="55"/>
        <v>1337411</v>
      </c>
      <c r="T930" s="183"/>
    </row>
    <row r="931" spans="1:20" ht="11.25">
      <c r="A931" s="175" t="s">
        <v>280</v>
      </c>
      <c r="B931" s="175">
        <v>14</v>
      </c>
      <c r="C931" s="176" t="s">
        <v>469</v>
      </c>
      <c r="D931" s="176" t="s">
        <v>394</v>
      </c>
      <c r="E931" s="176" t="s">
        <v>417</v>
      </c>
      <c r="F931" s="197" t="s">
        <v>472</v>
      </c>
      <c r="G931" s="176" t="s">
        <v>334</v>
      </c>
      <c r="H931" s="178" t="s">
        <v>325</v>
      </c>
      <c r="I931" s="175" t="s">
        <v>326</v>
      </c>
      <c r="J931" s="179" t="s">
        <v>326</v>
      </c>
      <c r="K931" s="179" t="s">
        <v>231</v>
      </c>
      <c r="L931" s="176" t="s">
        <v>418</v>
      </c>
      <c r="M931" s="180">
        <v>301000</v>
      </c>
      <c r="N931" s="181">
        <v>0</v>
      </c>
      <c r="O931" s="181">
        <v>0</v>
      </c>
      <c r="P931" s="181">
        <v>0</v>
      </c>
      <c r="Q931" s="181">
        <v>0</v>
      </c>
      <c r="R931" s="181">
        <v>0</v>
      </c>
      <c r="S931" s="182">
        <f t="shared" si="55"/>
        <v>301000</v>
      </c>
      <c r="T931" s="183"/>
    </row>
    <row r="932" spans="1:20" ht="11.25">
      <c r="A932" s="175" t="s">
        <v>280</v>
      </c>
      <c r="B932" s="175">
        <v>14</v>
      </c>
      <c r="C932" s="176" t="s">
        <v>469</v>
      </c>
      <c r="D932" s="176" t="s">
        <v>394</v>
      </c>
      <c r="E932" s="186" t="s">
        <v>375</v>
      </c>
      <c r="F932" s="197" t="s">
        <v>291</v>
      </c>
      <c r="G932" s="176" t="s">
        <v>334</v>
      </c>
      <c r="H932" s="178" t="s">
        <v>325</v>
      </c>
      <c r="I932" s="175" t="s">
        <v>326</v>
      </c>
      <c r="J932" s="179" t="s">
        <v>326</v>
      </c>
      <c r="K932" s="179" t="s">
        <v>231</v>
      </c>
      <c r="L932" s="176" t="s">
        <v>461</v>
      </c>
      <c r="M932" s="180">
        <v>11353907</v>
      </c>
      <c r="N932" s="181">
        <v>0</v>
      </c>
      <c r="O932" s="181">
        <v>0</v>
      </c>
      <c r="P932" s="181">
        <v>0</v>
      </c>
      <c r="Q932" s="181">
        <v>0</v>
      </c>
      <c r="R932" s="181">
        <v>0</v>
      </c>
      <c r="S932" s="182">
        <f t="shared" si="55"/>
        <v>11353907</v>
      </c>
      <c r="T932" s="183"/>
    </row>
    <row r="933" spans="1:20" ht="11.25">
      <c r="A933" s="175" t="s">
        <v>281</v>
      </c>
      <c r="B933" s="175">
        <v>15</v>
      </c>
      <c r="C933" s="176" t="s">
        <v>469</v>
      </c>
      <c r="D933" s="176" t="s">
        <v>394</v>
      </c>
      <c r="E933" s="177" t="s">
        <v>414</v>
      </c>
      <c r="F933" s="197" t="s">
        <v>290</v>
      </c>
      <c r="G933" s="176" t="s">
        <v>334</v>
      </c>
      <c r="H933" s="178" t="s">
        <v>325</v>
      </c>
      <c r="I933" s="175" t="s">
        <v>326</v>
      </c>
      <c r="J933" s="179" t="s">
        <v>326</v>
      </c>
      <c r="K933" s="179" t="s">
        <v>231</v>
      </c>
      <c r="L933" s="176" t="s">
        <v>415</v>
      </c>
      <c r="M933" s="180">
        <v>0</v>
      </c>
      <c r="N933" s="181">
        <v>0</v>
      </c>
      <c r="O933" s="181">
        <v>0</v>
      </c>
      <c r="P933" s="181">
        <v>0</v>
      </c>
      <c r="Q933" s="181">
        <v>0</v>
      </c>
      <c r="R933" s="181">
        <v>0</v>
      </c>
      <c r="S933" s="182">
        <f t="shared" si="55"/>
        <v>0</v>
      </c>
      <c r="T933" s="183"/>
    </row>
    <row r="934" spans="1:20" ht="11.25">
      <c r="A934" s="175" t="s">
        <v>281</v>
      </c>
      <c r="B934" s="175">
        <v>15</v>
      </c>
      <c r="C934" s="176" t="s">
        <v>469</v>
      </c>
      <c r="D934" s="176" t="s">
        <v>394</v>
      </c>
      <c r="E934" s="176" t="s">
        <v>350</v>
      </c>
      <c r="F934" s="197" t="s">
        <v>472</v>
      </c>
      <c r="G934" s="176" t="s">
        <v>334</v>
      </c>
      <c r="H934" s="178" t="s">
        <v>325</v>
      </c>
      <c r="I934" s="175" t="s">
        <v>326</v>
      </c>
      <c r="J934" s="179" t="s">
        <v>326</v>
      </c>
      <c r="K934" s="179" t="s">
        <v>231</v>
      </c>
      <c r="L934" s="176" t="s">
        <v>416</v>
      </c>
      <c r="M934" s="180">
        <v>1316642</v>
      </c>
      <c r="N934" s="181">
        <v>0</v>
      </c>
      <c r="O934" s="181">
        <v>0</v>
      </c>
      <c r="P934" s="181">
        <v>0</v>
      </c>
      <c r="Q934" s="181">
        <v>0</v>
      </c>
      <c r="R934" s="181">
        <v>0</v>
      </c>
      <c r="S934" s="182">
        <f t="shared" si="55"/>
        <v>1316642</v>
      </c>
      <c r="T934" s="183"/>
    </row>
    <row r="935" spans="1:20" ht="11.25">
      <c r="A935" s="175" t="s">
        <v>281</v>
      </c>
      <c r="B935" s="175">
        <v>15</v>
      </c>
      <c r="C935" s="176" t="s">
        <v>469</v>
      </c>
      <c r="D935" s="176" t="s">
        <v>394</v>
      </c>
      <c r="E935" s="176" t="s">
        <v>417</v>
      </c>
      <c r="F935" s="197" t="s">
        <v>472</v>
      </c>
      <c r="G935" s="176" t="s">
        <v>334</v>
      </c>
      <c r="H935" s="178" t="s">
        <v>325</v>
      </c>
      <c r="I935" s="175" t="s">
        <v>326</v>
      </c>
      <c r="J935" s="179" t="s">
        <v>326</v>
      </c>
      <c r="K935" s="179" t="s">
        <v>231</v>
      </c>
      <c r="L935" s="176" t="s">
        <v>418</v>
      </c>
      <c r="M935" s="180">
        <v>0</v>
      </c>
      <c r="N935" s="181">
        <v>0</v>
      </c>
      <c r="O935" s="181">
        <v>0</v>
      </c>
      <c r="P935" s="181">
        <v>0</v>
      </c>
      <c r="Q935" s="181">
        <v>0</v>
      </c>
      <c r="R935" s="181">
        <v>0</v>
      </c>
      <c r="S935" s="182">
        <f t="shared" si="55"/>
        <v>0</v>
      </c>
      <c r="T935" s="183"/>
    </row>
    <row r="936" spans="1:20" ht="11.25">
      <c r="A936" s="175" t="s">
        <v>282</v>
      </c>
      <c r="B936" s="175">
        <v>16</v>
      </c>
      <c r="C936" s="176" t="s">
        <v>469</v>
      </c>
      <c r="D936" s="176" t="s">
        <v>394</v>
      </c>
      <c r="E936" s="177" t="s">
        <v>414</v>
      </c>
      <c r="F936" s="197" t="s">
        <v>290</v>
      </c>
      <c r="G936" s="176" t="s">
        <v>334</v>
      </c>
      <c r="H936" s="178" t="s">
        <v>325</v>
      </c>
      <c r="I936" s="175" t="s">
        <v>326</v>
      </c>
      <c r="J936" s="179" t="s">
        <v>326</v>
      </c>
      <c r="K936" s="179" t="s">
        <v>231</v>
      </c>
      <c r="L936" s="176" t="s">
        <v>415</v>
      </c>
      <c r="M936" s="180">
        <v>0</v>
      </c>
      <c r="N936" s="181">
        <v>0</v>
      </c>
      <c r="O936" s="181">
        <v>0</v>
      </c>
      <c r="P936" s="181">
        <v>0</v>
      </c>
      <c r="Q936" s="181">
        <v>0</v>
      </c>
      <c r="R936" s="181">
        <v>0</v>
      </c>
      <c r="S936" s="182">
        <f t="shared" si="55"/>
        <v>0</v>
      </c>
      <c r="T936" s="183"/>
    </row>
    <row r="937" spans="1:20" ht="11.25">
      <c r="A937" s="175" t="s">
        <v>282</v>
      </c>
      <c r="B937" s="175">
        <v>16</v>
      </c>
      <c r="C937" s="176" t="s">
        <v>469</v>
      </c>
      <c r="D937" s="176" t="s">
        <v>394</v>
      </c>
      <c r="E937" s="176" t="s">
        <v>350</v>
      </c>
      <c r="F937" s="197" t="s">
        <v>472</v>
      </c>
      <c r="G937" s="176" t="s">
        <v>334</v>
      </c>
      <c r="H937" s="178" t="s">
        <v>325</v>
      </c>
      <c r="I937" s="175" t="s">
        <v>326</v>
      </c>
      <c r="J937" s="179" t="s">
        <v>326</v>
      </c>
      <c r="K937" s="179" t="s">
        <v>231</v>
      </c>
      <c r="L937" s="176" t="s">
        <v>416</v>
      </c>
      <c r="M937" s="180">
        <v>1308751</v>
      </c>
      <c r="N937" s="181">
        <v>0</v>
      </c>
      <c r="O937" s="181">
        <v>0</v>
      </c>
      <c r="P937" s="181">
        <v>0</v>
      </c>
      <c r="Q937" s="181">
        <v>0</v>
      </c>
      <c r="R937" s="181">
        <v>0</v>
      </c>
      <c r="S937" s="182">
        <f t="shared" si="55"/>
        <v>1308751</v>
      </c>
      <c r="T937" s="183"/>
    </row>
    <row r="938" spans="1:20" ht="11.25">
      <c r="A938" s="175" t="s">
        <v>282</v>
      </c>
      <c r="B938" s="175">
        <v>16</v>
      </c>
      <c r="C938" s="176" t="s">
        <v>469</v>
      </c>
      <c r="D938" s="176" t="s">
        <v>394</v>
      </c>
      <c r="E938" s="176" t="s">
        <v>417</v>
      </c>
      <c r="F938" s="197" t="s">
        <v>472</v>
      </c>
      <c r="G938" s="176" t="s">
        <v>334</v>
      </c>
      <c r="H938" s="178" t="s">
        <v>325</v>
      </c>
      <c r="I938" s="175" t="s">
        <v>326</v>
      </c>
      <c r="J938" s="179" t="s">
        <v>326</v>
      </c>
      <c r="K938" s="179" t="s">
        <v>231</v>
      </c>
      <c r="L938" s="176" t="s">
        <v>418</v>
      </c>
      <c r="M938" s="180">
        <v>0</v>
      </c>
      <c r="N938" s="181">
        <v>0</v>
      </c>
      <c r="O938" s="181">
        <v>0</v>
      </c>
      <c r="P938" s="181">
        <v>0</v>
      </c>
      <c r="Q938" s="181">
        <v>0</v>
      </c>
      <c r="R938" s="181">
        <v>0</v>
      </c>
      <c r="S938" s="182">
        <f t="shared" si="55"/>
        <v>0</v>
      </c>
      <c r="T938" s="183"/>
    </row>
    <row r="939" spans="1:20" ht="11.25">
      <c r="A939" s="175" t="s">
        <v>283</v>
      </c>
      <c r="B939" s="175">
        <v>17</v>
      </c>
      <c r="C939" s="176" t="s">
        <v>469</v>
      </c>
      <c r="D939" s="176" t="s">
        <v>394</v>
      </c>
      <c r="E939" s="177" t="s">
        <v>414</v>
      </c>
      <c r="F939" s="197" t="s">
        <v>290</v>
      </c>
      <c r="G939" s="176" t="s">
        <v>334</v>
      </c>
      <c r="H939" s="178" t="s">
        <v>325</v>
      </c>
      <c r="I939" s="175" t="s">
        <v>326</v>
      </c>
      <c r="J939" s="179" t="s">
        <v>326</v>
      </c>
      <c r="K939" s="179" t="s">
        <v>231</v>
      </c>
      <c r="L939" s="176" t="s">
        <v>415</v>
      </c>
      <c r="M939" s="180">
        <v>0</v>
      </c>
      <c r="N939" s="181">
        <v>0</v>
      </c>
      <c r="O939" s="181">
        <v>0</v>
      </c>
      <c r="P939" s="181">
        <v>0</v>
      </c>
      <c r="Q939" s="181">
        <v>0</v>
      </c>
      <c r="R939" s="181">
        <v>0</v>
      </c>
      <c r="S939" s="182">
        <f t="shared" si="55"/>
        <v>0</v>
      </c>
      <c r="T939" s="183"/>
    </row>
    <row r="940" spans="1:20" ht="11.25">
      <c r="A940" s="175" t="s">
        <v>283</v>
      </c>
      <c r="B940" s="175">
        <v>17</v>
      </c>
      <c r="C940" s="176" t="s">
        <v>469</v>
      </c>
      <c r="D940" s="176" t="s">
        <v>394</v>
      </c>
      <c r="E940" s="176" t="s">
        <v>350</v>
      </c>
      <c r="F940" s="197" t="s">
        <v>472</v>
      </c>
      <c r="G940" s="176" t="s">
        <v>334</v>
      </c>
      <c r="H940" s="178" t="s">
        <v>325</v>
      </c>
      <c r="I940" s="175" t="s">
        <v>326</v>
      </c>
      <c r="J940" s="179" t="s">
        <v>326</v>
      </c>
      <c r="K940" s="179" t="s">
        <v>231</v>
      </c>
      <c r="L940" s="176" t="s">
        <v>416</v>
      </c>
      <c r="M940" s="180">
        <v>621136</v>
      </c>
      <c r="N940" s="181">
        <v>0</v>
      </c>
      <c r="O940" s="181">
        <v>0</v>
      </c>
      <c r="P940" s="181">
        <v>0</v>
      </c>
      <c r="Q940" s="181">
        <v>0</v>
      </c>
      <c r="R940" s="181">
        <v>0</v>
      </c>
      <c r="S940" s="182">
        <f t="shared" si="55"/>
        <v>621136</v>
      </c>
      <c r="T940" s="183"/>
    </row>
    <row r="941" spans="1:20" ht="11.25">
      <c r="A941" s="175" t="s">
        <v>283</v>
      </c>
      <c r="B941" s="175">
        <v>17</v>
      </c>
      <c r="C941" s="176" t="s">
        <v>469</v>
      </c>
      <c r="D941" s="176" t="s">
        <v>394</v>
      </c>
      <c r="E941" s="176" t="s">
        <v>417</v>
      </c>
      <c r="F941" s="197" t="s">
        <v>472</v>
      </c>
      <c r="G941" s="176" t="s">
        <v>334</v>
      </c>
      <c r="H941" s="178" t="s">
        <v>325</v>
      </c>
      <c r="I941" s="175" t="s">
        <v>326</v>
      </c>
      <c r="J941" s="179" t="s">
        <v>326</v>
      </c>
      <c r="K941" s="179" t="s">
        <v>231</v>
      </c>
      <c r="L941" s="176" t="s">
        <v>418</v>
      </c>
      <c r="M941" s="180">
        <v>0</v>
      </c>
      <c r="N941" s="181">
        <v>0</v>
      </c>
      <c r="O941" s="181">
        <v>0</v>
      </c>
      <c r="P941" s="181">
        <v>0</v>
      </c>
      <c r="Q941" s="181">
        <v>0</v>
      </c>
      <c r="R941" s="181">
        <v>0</v>
      </c>
      <c r="S941" s="182">
        <f t="shared" si="55"/>
        <v>0</v>
      </c>
      <c r="T941" s="183"/>
    </row>
    <row r="942" spans="1:20" ht="11.25">
      <c r="A942" s="175" t="s">
        <v>284</v>
      </c>
      <c r="B942" s="175">
        <v>18</v>
      </c>
      <c r="C942" s="176" t="s">
        <v>469</v>
      </c>
      <c r="D942" s="176" t="s">
        <v>394</v>
      </c>
      <c r="E942" s="177" t="s">
        <v>414</v>
      </c>
      <c r="F942" s="197" t="s">
        <v>290</v>
      </c>
      <c r="G942" s="176" t="s">
        <v>334</v>
      </c>
      <c r="H942" s="178" t="s">
        <v>325</v>
      </c>
      <c r="I942" s="175" t="s">
        <v>326</v>
      </c>
      <c r="J942" s="179" t="s">
        <v>326</v>
      </c>
      <c r="K942" s="179" t="s">
        <v>231</v>
      </c>
      <c r="L942" s="176" t="s">
        <v>415</v>
      </c>
      <c r="M942" s="180">
        <v>0</v>
      </c>
      <c r="N942" s="181">
        <v>0</v>
      </c>
      <c r="O942" s="181">
        <v>0</v>
      </c>
      <c r="P942" s="181">
        <v>0</v>
      </c>
      <c r="Q942" s="181">
        <v>0</v>
      </c>
      <c r="R942" s="181">
        <v>0</v>
      </c>
      <c r="S942" s="182">
        <f t="shared" si="55"/>
        <v>0</v>
      </c>
      <c r="T942" s="183"/>
    </row>
    <row r="943" spans="1:20" ht="11.25">
      <c r="A943" s="175" t="s">
        <v>284</v>
      </c>
      <c r="B943" s="175">
        <v>18</v>
      </c>
      <c r="C943" s="176" t="s">
        <v>469</v>
      </c>
      <c r="D943" s="176" t="s">
        <v>394</v>
      </c>
      <c r="E943" s="176" t="s">
        <v>350</v>
      </c>
      <c r="F943" s="197" t="s">
        <v>472</v>
      </c>
      <c r="G943" s="176" t="s">
        <v>334</v>
      </c>
      <c r="H943" s="178" t="s">
        <v>325</v>
      </c>
      <c r="I943" s="175" t="s">
        <v>326</v>
      </c>
      <c r="J943" s="179" t="s">
        <v>326</v>
      </c>
      <c r="K943" s="179" t="s">
        <v>231</v>
      </c>
      <c r="L943" s="176" t="s">
        <v>416</v>
      </c>
      <c r="M943" s="180">
        <v>3120904</v>
      </c>
      <c r="N943" s="181">
        <v>0</v>
      </c>
      <c r="O943" s="181">
        <v>0</v>
      </c>
      <c r="P943" s="181">
        <v>0</v>
      </c>
      <c r="Q943" s="181">
        <v>0</v>
      </c>
      <c r="R943" s="181">
        <v>0</v>
      </c>
      <c r="S943" s="182">
        <f t="shared" si="55"/>
        <v>3120904</v>
      </c>
      <c r="T943" s="183"/>
    </row>
    <row r="944" spans="1:20" ht="11.25">
      <c r="A944" s="175" t="s">
        <v>284</v>
      </c>
      <c r="B944" s="175">
        <v>18</v>
      </c>
      <c r="C944" s="176" t="s">
        <v>469</v>
      </c>
      <c r="D944" s="176" t="s">
        <v>394</v>
      </c>
      <c r="E944" s="176" t="s">
        <v>417</v>
      </c>
      <c r="F944" s="197" t="s">
        <v>472</v>
      </c>
      <c r="G944" s="176" t="s">
        <v>334</v>
      </c>
      <c r="H944" s="178" t="s">
        <v>325</v>
      </c>
      <c r="I944" s="175" t="s">
        <v>326</v>
      </c>
      <c r="J944" s="179" t="s">
        <v>326</v>
      </c>
      <c r="K944" s="179" t="s">
        <v>231</v>
      </c>
      <c r="L944" s="176" t="s">
        <v>418</v>
      </c>
      <c r="M944" s="180">
        <v>0</v>
      </c>
      <c r="N944" s="181">
        <v>0</v>
      </c>
      <c r="O944" s="181">
        <v>0</v>
      </c>
      <c r="P944" s="181">
        <v>0</v>
      </c>
      <c r="Q944" s="181">
        <v>0</v>
      </c>
      <c r="R944" s="181">
        <v>0</v>
      </c>
      <c r="S944" s="182">
        <f t="shared" si="55"/>
        <v>0</v>
      </c>
      <c r="T944" s="183"/>
    </row>
    <row r="945" spans="1:20" ht="11.25">
      <c r="A945" s="175" t="s">
        <v>285</v>
      </c>
      <c r="B945" s="175">
        <v>19</v>
      </c>
      <c r="C945" s="176" t="s">
        <v>469</v>
      </c>
      <c r="D945" s="176" t="s">
        <v>394</v>
      </c>
      <c r="E945" s="177" t="s">
        <v>414</v>
      </c>
      <c r="F945" s="197" t="s">
        <v>290</v>
      </c>
      <c r="G945" s="176" t="s">
        <v>334</v>
      </c>
      <c r="H945" s="178" t="s">
        <v>325</v>
      </c>
      <c r="I945" s="175" t="s">
        <v>326</v>
      </c>
      <c r="J945" s="179" t="s">
        <v>326</v>
      </c>
      <c r="K945" s="179" t="s">
        <v>231</v>
      </c>
      <c r="L945" s="176" t="s">
        <v>415</v>
      </c>
      <c r="M945" s="180">
        <v>742946</v>
      </c>
      <c r="N945" s="181">
        <v>0</v>
      </c>
      <c r="O945" s="181">
        <v>0</v>
      </c>
      <c r="P945" s="181">
        <v>0</v>
      </c>
      <c r="Q945" s="181">
        <v>0</v>
      </c>
      <c r="R945" s="181">
        <v>0</v>
      </c>
      <c r="S945" s="182">
        <f t="shared" si="55"/>
        <v>742946</v>
      </c>
      <c r="T945" s="183"/>
    </row>
    <row r="946" spans="1:20" ht="11.25">
      <c r="A946" s="175" t="s">
        <v>285</v>
      </c>
      <c r="B946" s="175">
        <v>19</v>
      </c>
      <c r="C946" s="176" t="s">
        <v>469</v>
      </c>
      <c r="D946" s="176" t="s">
        <v>394</v>
      </c>
      <c r="E946" s="176" t="s">
        <v>350</v>
      </c>
      <c r="F946" s="197" t="s">
        <v>472</v>
      </c>
      <c r="G946" s="176" t="s">
        <v>334</v>
      </c>
      <c r="H946" s="178" t="s">
        <v>325</v>
      </c>
      <c r="I946" s="175" t="s">
        <v>326</v>
      </c>
      <c r="J946" s="179" t="s">
        <v>326</v>
      </c>
      <c r="K946" s="179" t="s">
        <v>231</v>
      </c>
      <c r="L946" s="176" t="s">
        <v>416</v>
      </c>
      <c r="M946" s="180">
        <v>2655568</v>
      </c>
      <c r="N946" s="181">
        <v>0</v>
      </c>
      <c r="O946" s="181">
        <v>0</v>
      </c>
      <c r="P946" s="181">
        <v>0</v>
      </c>
      <c r="Q946" s="181">
        <v>0</v>
      </c>
      <c r="R946" s="181">
        <v>0</v>
      </c>
      <c r="S946" s="182">
        <f t="shared" si="55"/>
        <v>2655568</v>
      </c>
      <c r="T946" s="183"/>
    </row>
    <row r="947" spans="1:20" ht="11.25">
      <c r="A947" s="175" t="s">
        <v>285</v>
      </c>
      <c r="B947" s="175">
        <v>19</v>
      </c>
      <c r="C947" s="176" t="s">
        <v>469</v>
      </c>
      <c r="D947" s="176" t="s">
        <v>394</v>
      </c>
      <c r="E947" s="176" t="s">
        <v>417</v>
      </c>
      <c r="F947" s="197" t="s">
        <v>472</v>
      </c>
      <c r="G947" s="176" t="s">
        <v>334</v>
      </c>
      <c r="H947" s="178" t="s">
        <v>325</v>
      </c>
      <c r="I947" s="175" t="s">
        <v>326</v>
      </c>
      <c r="J947" s="179" t="s">
        <v>326</v>
      </c>
      <c r="K947" s="179" t="s">
        <v>231</v>
      </c>
      <c r="L947" s="176" t="s">
        <v>418</v>
      </c>
      <c r="M947" s="180">
        <v>0</v>
      </c>
      <c r="N947" s="181">
        <v>0</v>
      </c>
      <c r="O947" s="181">
        <v>0</v>
      </c>
      <c r="P947" s="181">
        <v>0</v>
      </c>
      <c r="Q947" s="181">
        <v>0</v>
      </c>
      <c r="R947" s="181">
        <v>0</v>
      </c>
      <c r="S947" s="182">
        <f t="shared" si="55"/>
        <v>0</v>
      </c>
      <c r="T947" s="183"/>
    </row>
    <row r="948" spans="1:20" ht="11.25">
      <c r="A948" s="175" t="s">
        <v>303</v>
      </c>
      <c r="B948" s="175">
        <v>20</v>
      </c>
      <c r="C948" s="176" t="s">
        <v>469</v>
      </c>
      <c r="D948" s="176" t="s">
        <v>394</v>
      </c>
      <c r="E948" s="177" t="s">
        <v>414</v>
      </c>
      <c r="F948" s="197" t="s">
        <v>290</v>
      </c>
      <c r="G948" s="176" t="s">
        <v>334</v>
      </c>
      <c r="H948" s="178" t="s">
        <v>325</v>
      </c>
      <c r="I948" s="175" t="s">
        <v>326</v>
      </c>
      <c r="J948" s="179" t="s">
        <v>326</v>
      </c>
      <c r="K948" s="179" t="s">
        <v>231</v>
      </c>
      <c r="L948" s="176" t="s">
        <v>415</v>
      </c>
      <c r="M948" s="180">
        <v>21591939</v>
      </c>
      <c r="N948" s="181">
        <v>0</v>
      </c>
      <c r="O948" s="181">
        <v>0</v>
      </c>
      <c r="P948" s="181">
        <v>0</v>
      </c>
      <c r="Q948" s="181">
        <v>0</v>
      </c>
      <c r="R948" s="181">
        <v>0</v>
      </c>
      <c r="S948" s="182">
        <f t="shared" si="55"/>
        <v>21591939</v>
      </c>
      <c r="T948" s="183"/>
    </row>
    <row r="949" spans="1:20" ht="11.25">
      <c r="A949" s="175" t="s">
        <v>303</v>
      </c>
      <c r="B949" s="175">
        <v>20</v>
      </c>
      <c r="C949" s="176" t="s">
        <v>469</v>
      </c>
      <c r="D949" s="176" t="s">
        <v>394</v>
      </c>
      <c r="E949" s="177" t="s">
        <v>417</v>
      </c>
      <c r="F949" s="197" t="s">
        <v>290</v>
      </c>
      <c r="G949" s="176" t="s">
        <v>334</v>
      </c>
      <c r="H949" s="178" t="s">
        <v>325</v>
      </c>
      <c r="I949" s="175" t="s">
        <v>326</v>
      </c>
      <c r="J949" s="179" t="s">
        <v>326</v>
      </c>
      <c r="K949" s="179" t="s">
        <v>231</v>
      </c>
      <c r="L949" s="176" t="s">
        <v>462</v>
      </c>
      <c r="M949" s="180">
        <v>4012000</v>
      </c>
      <c r="N949" s="181">
        <v>0</v>
      </c>
      <c r="O949" s="181">
        <v>0</v>
      </c>
      <c r="P949" s="181">
        <v>0</v>
      </c>
      <c r="Q949" s="181">
        <v>0</v>
      </c>
      <c r="R949" s="181">
        <v>0</v>
      </c>
      <c r="S949" s="182">
        <f t="shared" si="55"/>
        <v>4012000</v>
      </c>
      <c r="T949" s="183"/>
    </row>
    <row r="950" spans="1:20" ht="11.25">
      <c r="A950" s="175" t="s">
        <v>303</v>
      </c>
      <c r="B950" s="175">
        <v>20</v>
      </c>
      <c r="C950" s="176" t="s">
        <v>469</v>
      </c>
      <c r="D950" s="176" t="s">
        <v>394</v>
      </c>
      <c r="E950" s="177" t="s">
        <v>338</v>
      </c>
      <c r="F950" s="197" t="s">
        <v>290</v>
      </c>
      <c r="G950" s="176" t="s">
        <v>334</v>
      </c>
      <c r="H950" s="178" t="s">
        <v>325</v>
      </c>
      <c r="I950" s="175" t="s">
        <v>326</v>
      </c>
      <c r="J950" s="179" t="s">
        <v>326</v>
      </c>
      <c r="K950" s="179" t="s">
        <v>231</v>
      </c>
      <c r="L950" s="176" t="s">
        <v>478</v>
      </c>
      <c r="M950" s="180">
        <v>3122443</v>
      </c>
      <c r="N950" s="181">
        <v>0</v>
      </c>
      <c r="O950" s="181">
        <v>0</v>
      </c>
      <c r="P950" s="181">
        <v>0</v>
      </c>
      <c r="Q950" s="181">
        <v>0</v>
      </c>
      <c r="R950" s="181">
        <v>0</v>
      </c>
      <c r="S950" s="182">
        <f>M950-SUM(N950:R950)</f>
        <v>3122443</v>
      </c>
      <c r="T950" s="183"/>
    </row>
    <row r="951" spans="1:20" ht="11.25">
      <c r="A951" s="175" t="s">
        <v>303</v>
      </c>
      <c r="B951" s="175">
        <v>20</v>
      </c>
      <c r="C951" s="176" t="s">
        <v>469</v>
      </c>
      <c r="D951" s="176" t="s">
        <v>394</v>
      </c>
      <c r="E951" s="176" t="s">
        <v>350</v>
      </c>
      <c r="F951" s="197" t="s">
        <v>472</v>
      </c>
      <c r="G951" s="176" t="s">
        <v>334</v>
      </c>
      <c r="H951" s="178" t="s">
        <v>325</v>
      </c>
      <c r="I951" s="175" t="s">
        <v>326</v>
      </c>
      <c r="J951" s="179" t="s">
        <v>326</v>
      </c>
      <c r="K951" s="179" t="s">
        <v>231</v>
      </c>
      <c r="L951" s="176" t="s">
        <v>416</v>
      </c>
      <c r="M951" s="180">
        <v>19461689</v>
      </c>
      <c r="N951" s="181">
        <v>0</v>
      </c>
      <c r="O951" s="181">
        <v>0</v>
      </c>
      <c r="P951" s="181">
        <v>0</v>
      </c>
      <c r="Q951" s="181">
        <v>0</v>
      </c>
      <c r="R951" s="181">
        <v>0</v>
      </c>
      <c r="S951" s="182">
        <f t="shared" si="55"/>
        <v>19461689</v>
      </c>
      <c r="T951" s="183"/>
    </row>
    <row r="952" spans="1:20" ht="11.25">
      <c r="A952" s="175" t="s">
        <v>303</v>
      </c>
      <c r="B952" s="175">
        <v>20</v>
      </c>
      <c r="C952" s="176" t="s">
        <v>469</v>
      </c>
      <c r="D952" s="176" t="s">
        <v>394</v>
      </c>
      <c r="E952" s="176" t="s">
        <v>417</v>
      </c>
      <c r="F952" s="197" t="s">
        <v>472</v>
      </c>
      <c r="G952" s="176" t="s">
        <v>334</v>
      </c>
      <c r="H952" s="178" t="s">
        <v>325</v>
      </c>
      <c r="I952" s="175" t="s">
        <v>326</v>
      </c>
      <c r="J952" s="179" t="s">
        <v>326</v>
      </c>
      <c r="K952" s="179" t="s">
        <v>231</v>
      </c>
      <c r="L952" s="176" t="s">
        <v>418</v>
      </c>
      <c r="M952" s="180">
        <v>2674750</v>
      </c>
      <c r="N952" s="181">
        <v>0</v>
      </c>
      <c r="O952" s="181">
        <v>0</v>
      </c>
      <c r="P952" s="181">
        <v>0</v>
      </c>
      <c r="Q952" s="181">
        <v>0</v>
      </c>
      <c r="R952" s="181">
        <v>0</v>
      </c>
      <c r="S952" s="182">
        <f t="shared" si="55"/>
        <v>2674750</v>
      </c>
      <c r="T952" s="183"/>
    </row>
    <row r="953" spans="1:20" ht="11.25">
      <c r="A953" s="175" t="s">
        <v>303</v>
      </c>
      <c r="B953" s="175">
        <v>20</v>
      </c>
      <c r="C953" s="176" t="s">
        <v>469</v>
      </c>
      <c r="D953" s="176" t="s">
        <v>394</v>
      </c>
      <c r="E953" s="186" t="s">
        <v>375</v>
      </c>
      <c r="F953" s="197" t="s">
        <v>291</v>
      </c>
      <c r="G953" s="176" t="s">
        <v>334</v>
      </c>
      <c r="H953" s="178" t="s">
        <v>325</v>
      </c>
      <c r="I953" s="175" t="s">
        <v>326</v>
      </c>
      <c r="J953" s="179" t="s">
        <v>326</v>
      </c>
      <c r="K953" s="179" t="s">
        <v>231</v>
      </c>
      <c r="L953" s="176" t="s">
        <v>463</v>
      </c>
      <c r="M953" s="180">
        <v>1632289</v>
      </c>
      <c r="N953" s="181">
        <v>0</v>
      </c>
      <c r="O953" s="181">
        <v>0</v>
      </c>
      <c r="P953" s="181">
        <v>0</v>
      </c>
      <c r="Q953" s="181">
        <v>0</v>
      </c>
      <c r="R953" s="181">
        <v>0</v>
      </c>
      <c r="S953" s="182">
        <f t="shared" si="55"/>
        <v>1632289</v>
      </c>
      <c r="T953" s="183"/>
    </row>
    <row r="954" spans="1:20" ht="11.25">
      <c r="A954" s="175" t="s">
        <v>303</v>
      </c>
      <c r="B954" s="175">
        <v>20</v>
      </c>
      <c r="C954" s="176" t="s">
        <v>469</v>
      </c>
      <c r="D954" s="176" t="s">
        <v>394</v>
      </c>
      <c r="E954" s="186" t="s">
        <v>375</v>
      </c>
      <c r="F954" s="197" t="s">
        <v>291</v>
      </c>
      <c r="G954" s="176" t="s">
        <v>334</v>
      </c>
      <c r="H954" s="178" t="s">
        <v>325</v>
      </c>
      <c r="I954" s="175" t="s">
        <v>326</v>
      </c>
      <c r="J954" s="179" t="s">
        <v>326</v>
      </c>
      <c r="K954" s="179" t="s">
        <v>231</v>
      </c>
      <c r="L954" s="176" t="s">
        <v>464</v>
      </c>
      <c r="M954" s="180">
        <v>15133983</v>
      </c>
      <c r="N954" s="181">
        <v>0</v>
      </c>
      <c r="O954" s="181">
        <v>0</v>
      </c>
      <c r="P954" s="181">
        <v>0</v>
      </c>
      <c r="Q954" s="181">
        <v>0</v>
      </c>
      <c r="R954" s="181">
        <v>0</v>
      </c>
      <c r="S954" s="182">
        <f t="shared" si="55"/>
        <v>15133983</v>
      </c>
      <c r="T954" s="183"/>
    </row>
    <row r="955" spans="1:20" ht="11.25">
      <c r="A955" s="175" t="s">
        <v>265</v>
      </c>
      <c r="B955" s="175">
        <v>0</v>
      </c>
      <c r="C955" s="176" t="s">
        <v>399</v>
      </c>
      <c r="D955" s="176" t="s">
        <v>419</v>
      </c>
      <c r="E955" s="176" t="s">
        <v>338</v>
      </c>
      <c r="F955" s="176"/>
      <c r="G955" s="176" t="s">
        <v>324</v>
      </c>
      <c r="H955" s="178" t="s">
        <v>325</v>
      </c>
      <c r="I955" s="175" t="s">
        <v>326</v>
      </c>
      <c r="J955" s="179" t="s">
        <v>326</v>
      </c>
      <c r="K955" s="179"/>
      <c r="L955" s="176" t="s">
        <v>420</v>
      </c>
      <c r="M955" s="180">
        <v>30000</v>
      </c>
      <c r="N955" s="181">
        <v>0</v>
      </c>
      <c r="O955" s="181">
        <v>0</v>
      </c>
      <c r="P955" s="181">
        <v>0</v>
      </c>
      <c r="Q955" s="181">
        <v>0</v>
      </c>
      <c r="R955" s="181">
        <v>0</v>
      </c>
      <c r="S955" s="182">
        <f t="shared" si="55"/>
        <v>30000</v>
      </c>
      <c r="T955" s="183"/>
    </row>
    <row r="956" spans="1:20" ht="11.25">
      <c r="A956" s="175" t="s">
        <v>265</v>
      </c>
      <c r="B956" s="175">
        <v>0</v>
      </c>
      <c r="C956" s="176" t="s">
        <v>399</v>
      </c>
      <c r="D956" s="176" t="s">
        <v>400</v>
      </c>
      <c r="E956" s="186" t="s">
        <v>375</v>
      </c>
      <c r="F956" s="186"/>
      <c r="G956" s="176" t="s">
        <v>360</v>
      </c>
      <c r="H956" s="178" t="s">
        <v>325</v>
      </c>
      <c r="I956" s="175" t="s">
        <v>326</v>
      </c>
      <c r="J956" s="179" t="s">
        <v>326</v>
      </c>
      <c r="K956" s="179"/>
      <c r="L956" s="176" t="s">
        <v>421</v>
      </c>
      <c r="M956" s="180">
        <v>15000000</v>
      </c>
      <c r="N956" s="181">
        <v>15000000</v>
      </c>
      <c r="O956" s="181">
        <v>0</v>
      </c>
      <c r="P956" s="181">
        <v>0</v>
      </c>
      <c r="Q956" s="181">
        <v>0</v>
      </c>
      <c r="R956" s="181">
        <v>0</v>
      </c>
      <c r="S956" s="182">
        <f t="shared" si="55"/>
        <v>0</v>
      </c>
      <c r="T956" s="183"/>
    </row>
    <row r="957" spans="1:20" ht="11.25">
      <c r="A957" s="175" t="s">
        <v>265</v>
      </c>
      <c r="B957" s="175">
        <v>0</v>
      </c>
      <c r="C957" s="176" t="s">
        <v>399</v>
      </c>
      <c r="D957" s="176" t="s">
        <v>400</v>
      </c>
      <c r="E957" s="176" t="s">
        <v>329</v>
      </c>
      <c r="F957" s="176"/>
      <c r="G957" s="176" t="s">
        <v>360</v>
      </c>
      <c r="H957" s="178" t="s">
        <v>325</v>
      </c>
      <c r="I957" s="175" t="s">
        <v>326</v>
      </c>
      <c r="J957" s="179" t="s">
        <v>326</v>
      </c>
      <c r="K957" s="179"/>
      <c r="L957" s="176" t="s">
        <v>422</v>
      </c>
      <c r="M957" s="180">
        <v>1400000</v>
      </c>
      <c r="N957" s="181">
        <v>0</v>
      </c>
      <c r="O957" s="181">
        <v>0</v>
      </c>
      <c r="P957" s="181">
        <v>0</v>
      </c>
      <c r="Q957" s="181">
        <v>0</v>
      </c>
      <c r="R957" s="181">
        <v>0</v>
      </c>
      <c r="S957" s="182">
        <f t="shared" si="55"/>
        <v>1400000</v>
      </c>
      <c r="T957" s="183"/>
    </row>
    <row r="958" spans="1:20" ht="11.25">
      <c r="A958" s="175" t="s">
        <v>265</v>
      </c>
      <c r="B958" s="175">
        <v>0</v>
      </c>
      <c r="C958" s="176" t="s">
        <v>423</v>
      </c>
      <c r="D958" s="176" t="s">
        <v>424</v>
      </c>
      <c r="E958" s="176" t="s">
        <v>397</v>
      </c>
      <c r="F958" s="176"/>
      <c r="G958" s="176" t="s">
        <v>324</v>
      </c>
      <c r="H958" s="178" t="s">
        <v>325</v>
      </c>
      <c r="I958" s="175" t="s">
        <v>326</v>
      </c>
      <c r="J958" s="179" t="s">
        <v>326</v>
      </c>
      <c r="K958" s="179"/>
      <c r="L958" s="176" t="s">
        <v>425</v>
      </c>
      <c r="M958" s="180">
        <v>100000</v>
      </c>
      <c r="N958" s="181">
        <v>0</v>
      </c>
      <c r="O958" s="181">
        <v>0</v>
      </c>
      <c r="P958" s="181">
        <v>0</v>
      </c>
      <c r="Q958" s="181">
        <v>0</v>
      </c>
      <c r="R958" s="181">
        <v>0</v>
      </c>
      <c r="S958" s="182">
        <f t="shared" si="55"/>
        <v>100000</v>
      </c>
      <c r="T958" s="183"/>
    </row>
    <row r="959" spans="1:20" ht="11.25">
      <c r="A959" s="175" t="s">
        <v>265</v>
      </c>
      <c r="B959" s="175">
        <v>0</v>
      </c>
      <c r="C959" s="176" t="s">
        <v>399</v>
      </c>
      <c r="D959" s="176" t="s">
        <v>400</v>
      </c>
      <c r="E959" s="176" t="s">
        <v>397</v>
      </c>
      <c r="F959" s="176"/>
      <c r="G959" s="176" t="s">
        <v>324</v>
      </c>
      <c r="H959" s="178" t="s">
        <v>325</v>
      </c>
      <c r="I959" s="175" t="s">
        <v>326</v>
      </c>
      <c r="J959" s="179" t="s">
        <v>326</v>
      </c>
      <c r="K959" s="179"/>
      <c r="L959" s="176" t="s">
        <v>426</v>
      </c>
      <c r="M959" s="180">
        <v>1148000</v>
      </c>
      <c r="N959" s="181">
        <v>0</v>
      </c>
      <c r="O959" s="181">
        <v>0</v>
      </c>
      <c r="P959" s="181">
        <v>0</v>
      </c>
      <c r="Q959" s="181">
        <v>0</v>
      </c>
      <c r="R959" s="181">
        <v>0</v>
      </c>
      <c r="S959" s="182">
        <f t="shared" si="55"/>
        <v>1148000</v>
      </c>
      <c r="T959" s="183"/>
    </row>
    <row r="960" spans="1:20" ht="11.25">
      <c r="A960" s="175" t="s">
        <v>265</v>
      </c>
      <c r="B960" s="175">
        <v>0</v>
      </c>
      <c r="C960" s="176" t="s">
        <v>358</v>
      </c>
      <c r="D960" s="176" t="s">
        <v>396</v>
      </c>
      <c r="E960" s="177" t="s">
        <v>323</v>
      </c>
      <c r="F960" s="177"/>
      <c r="G960" s="176" t="s">
        <v>324</v>
      </c>
      <c r="H960" s="178" t="s">
        <v>325</v>
      </c>
      <c r="I960" s="175" t="s">
        <v>326</v>
      </c>
      <c r="J960" s="179" t="s">
        <v>326</v>
      </c>
      <c r="K960" s="179"/>
      <c r="L960" s="176" t="s">
        <v>427</v>
      </c>
      <c r="M960" s="180">
        <v>5000</v>
      </c>
      <c r="N960" s="181">
        <v>0</v>
      </c>
      <c r="O960" s="181">
        <v>0</v>
      </c>
      <c r="P960" s="181">
        <v>0</v>
      </c>
      <c r="Q960" s="181">
        <v>0</v>
      </c>
      <c r="R960" s="181">
        <v>0</v>
      </c>
      <c r="S960" s="182">
        <f t="shared" si="55"/>
        <v>5000</v>
      </c>
      <c r="T960" s="183"/>
    </row>
    <row r="961" spans="1:20" ht="11.25">
      <c r="A961" s="175" t="s">
        <v>265</v>
      </c>
      <c r="B961" s="175">
        <v>0</v>
      </c>
      <c r="C961" s="176" t="s">
        <v>355</v>
      </c>
      <c r="D961" s="176" t="s">
        <v>428</v>
      </c>
      <c r="E961" s="176" t="s">
        <v>397</v>
      </c>
      <c r="F961" s="176"/>
      <c r="G961" s="176" t="s">
        <v>360</v>
      </c>
      <c r="H961" s="178" t="s">
        <v>325</v>
      </c>
      <c r="I961" s="175" t="s">
        <v>326</v>
      </c>
      <c r="J961" s="179" t="s">
        <v>326</v>
      </c>
      <c r="K961" s="179"/>
      <c r="L961" s="176" t="s">
        <v>429</v>
      </c>
      <c r="M961" s="180">
        <v>16000</v>
      </c>
      <c r="N961" s="181">
        <v>0</v>
      </c>
      <c r="O961" s="181">
        <v>0</v>
      </c>
      <c r="P961" s="181">
        <v>0</v>
      </c>
      <c r="Q961" s="181">
        <v>0</v>
      </c>
      <c r="R961" s="181">
        <v>0</v>
      </c>
      <c r="S961" s="182">
        <f t="shared" si="55"/>
        <v>16000</v>
      </c>
      <c r="T961" s="183"/>
    </row>
    <row r="962" spans="1:20" ht="11.25">
      <c r="A962" s="175" t="s">
        <v>265</v>
      </c>
      <c r="B962" s="175">
        <v>0</v>
      </c>
      <c r="C962" s="176" t="s">
        <v>399</v>
      </c>
      <c r="D962" s="176" t="s">
        <v>400</v>
      </c>
      <c r="E962" s="176" t="s">
        <v>338</v>
      </c>
      <c r="F962" s="176"/>
      <c r="G962" s="176" t="s">
        <v>360</v>
      </c>
      <c r="H962" s="178" t="s">
        <v>325</v>
      </c>
      <c r="I962" s="175" t="s">
        <v>326</v>
      </c>
      <c r="J962" s="179" t="s">
        <v>326</v>
      </c>
      <c r="K962" s="179"/>
      <c r="L962" s="176" t="s">
        <v>430</v>
      </c>
      <c r="M962" s="180">
        <v>25000</v>
      </c>
      <c r="N962" s="181">
        <v>0</v>
      </c>
      <c r="O962" s="181">
        <v>0</v>
      </c>
      <c r="P962" s="181">
        <v>0</v>
      </c>
      <c r="Q962" s="181">
        <v>0</v>
      </c>
      <c r="R962" s="181">
        <v>0</v>
      </c>
      <c r="S962" s="182">
        <f t="shared" si="55"/>
        <v>25000</v>
      </c>
      <c r="T962" s="183"/>
    </row>
    <row r="963" spans="1:20" ht="11.25">
      <c r="A963" s="175" t="s">
        <v>265</v>
      </c>
      <c r="B963" s="175">
        <v>0</v>
      </c>
      <c r="C963" s="176" t="s">
        <v>399</v>
      </c>
      <c r="D963" s="176" t="s">
        <v>400</v>
      </c>
      <c r="E963" s="177" t="s">
        <v>414</v>
      </c>
      <c r="F963" s="177"/>
      <c r="G963" s="176" t="s">
        <v>334</v>
      </c>
      <c r="H963" s="178" t="s">
        <v>325</v>
      </c>
      <c r="I963" s="175" t="s">
        <v>326</v>
      </c>
      <c r="J963" s="179" t="s">
        <v>326</v>
      </c>
      <c r="K963" s="179"/>
      <c r="L963" s="176" t="s">
        <v>431</v>
      </c>
      <c r="M963" s="180">
        <v>4250000</v>
      </c>
      <c r="N963" s="181">
        <v>1600000</v>
      </c>
      <c r="O963" s="181">
        <v>0</v>
      </c>
      <c r="P963" s="181">
        <v>0</v>
      </c>
      <c r="Q963" s="181">
        <v>0</v>
      </c>
      <c r="R963" s="181">
        <v>0</v>
      </c>
      <c r="S963" s="182">
        <f t="shared" si="55"/>
        <v>2650000</v>
      </c>
      <c r="T963" s="183"/>
    </row>
    <row r="964" spans="1:20" ht="11.25">
      <c r="A964" s="175" t="s">
        <v>265</v>
      </c>
      <c r="B964" s="175">
        <v>0</v>
      </c>
      <c r="C964" s="176" t="s">
        <v>399</v>
      </c>
      <c r="D964" s="176" t="s">
        <v>400</v>
      </c>
      <c r="E964" s="176" t="s">
        <v>397</v>
      </c>
      <c r="F964" s="176"/>
      <c r="G964" s="176" t="s">
        <v>360</v>
      </c>
      <c r="H964" s="178" t="s">
        <v>325</v>
      </c>
      <c r="I964" s="175" t="s">
        <v>326</v>
      </c>
      <c r="J964" s="179" t="s">
        <v>326</v>
      </c>
      <c r="K964" s="179"/>
      <c r="L964" s="176" t="s">
        <v>432</v>
      </c>
      <c r="M964" s="180">
        <v>150000</v>
      </c>
      <c r="N964" s="181">
        <v>0</v>
      </c>
      <c r="O964" s="181">
        <v>0</v>
      </c>
      <c r="P964" s="181">
        <v>0</v>
      </c>
      <c r="Q964" s="181">
        <v>0</v>
      </c>
      <c r="R964" s="181">
        <v>0</v>
      </c>
      <c r="S964" s="182">
        <f aca="true" t="shared" si="56" ref="S964:S976">M964-SUM(N964:R964)</f>
        <v>150000</v>
      </c>
      <c r="T964" s="183"/>
    </row>
    <row r="965" spans="1:20" ht="11.25">
      <c r="A965" s="175" t="s">
        <v>265</v>
      </c>
      <c r="B965" s="175">
        <v>0</v>
      </c>
      <c r="C965" s="176" t="s">
        <v>355</v>
      </c>
      <c r="D965" s="176" t="s">
        <v>356</v>
      </c>
      <c r="E965" s="177" t="s">
        <v>414</v>
      </c>
      <c r="F965" s="177"/>
      <c r="G965" s="176" t="s">
        <v>334</v>
      </c>
      <c r="H965" s="178" t="s">
        <v>325</v>
      </c>
      <c r="I965" s="175" t="s">
        <v>326</v>
      </c>
      <c r="J965" s="179" t="s">
        <v>326</v>
      </c>
      <c r="K965" s="179"/>
      <c r="L965" s="176" t="s">
        <v>433</v>
      </c>
      <c r="M965" s="180">
        <v>250000</v>
      </c>
      <c r="N965" s="181">
        <v>0</v>
      </c>
      <c r="O965" s="181">
        <v>0</v>
      </c>
      <c r="P965" s="181">
        <v>0</v>
      </c>
      <c r="Q965" s="181">
        <v>0</v>
      </c>
      <c r="R965" s="181">
        <v>0</v>
      </c>
      <c r="S965" s="182">
        <f t="shared" si="56"/>
        <v>250000</v>
      </c>
      <c r="T965" s="183"/>
    </row>
    <row r="966" spans="1:20" ht="11.25">
      <c r="A966" s="175" t="s">
        <v>265</v>
      </c>
      <c r="B966" s="175">
        <v>0</v>
      </c>
      <c r="C966" s="176" t="s">
        <v>399</v>
      </c>
      <c r="D966" s="176" t="s">
        <v>400</v>
      </c>
      <c r="E966" s="176" t="s">
        <v>338</v>
      </c>
      <c r="F966" s="176"/>
      <c r="G966" s="176" t="s">
        <v>334</v>
      </c>
      <c r="H966" s="178" t="s">
        <v>325</v>
      </c>
      <c r="I966" s="175" t="s">
        <v>326</v>
      </c>
      <c r="J966" s="179" t="s">
        <v>326</v>
      </c>
      <c r="K966" s="179"/>
      <c r="L966" s="176" t="s">
        <v>434</v>
      </c>
      <c r="M966" s="180">
        <v>250000</v>
      </c>
      <c r="N966" s="181">
        <v>0</v>
      </c>
      <c r="O966" s="181">
        <v>0</v>
      </c>
      <c r="P966" s="181">
        <v>0</v>
      </c>
      <c r="Q966" s="181">
        <v>0</v>
      </c>
      <c r="R966" s="181">
        <v>0</v>
      </c>
      <c r="S966" s="182">
        <f t="shared" si="56"/>
        <v>250000</v>
      </c>
      <c r="T966" s="183"/>
    </row>
    <row r="967" spans="1:20" ht="11.25">
      <c r="A967" s="175" t="s">
        <v>265</v>
      </c>
      <c r="B967" s="175">
        <v>0</v>
      </c>
      <c r="C967" s="176" t="s">
        <v>399</v>
      </c>
      <c r="D967" s="176" t="s">
        <v>400</v>
      </c>
      <c r="E967" s="176" t="s">
        <v>348</v>
      </c>
      <c r="F967" s="176"/>
      <c r="G967" s="176" t="s">
        <v>334</v>
      </c>
      <c r="H967" s="178" t="s">
        <v>325</v>
      </c>
      <c r="I967" s="175" t="s">
        <v>326</v>
      </c>
      <c r="J967" s="179" t="s">
        <v>326</v>
      </c>
      <c r="K967" s="179"/>
      <c r="L967" s="176" t="s">
        <v>435</v>
      </c>
      <c r="M967" s="180">
        <v>100000</v>
      </c>
      <c r="N967" s="181">
        <v>0</v>
      </c>
      <c r="O967" s="181">
        <v>0</v>
      </c>
      <c r="P967" s="181">
        <v>0</v>
      </c>
      <c r="Q967" s="181">
        <v>0</v>
      </c>
      <c r="R967" s="181">
        <v>0</v>
      </c>
      <c r="S967" s="182">
        <f t="shared" si="56"/>
        <v>100000</v>
      </c>
      <c r="T967" s="183"/>
    </row>
    <row r="968" spans="1:20" ht="11.25">
      <c r="A968" s="175" t="s">
        <v>265</v>
      </c>
      <c r="B968" s="175">
        <v>0</v>
      </c>
      <c r="C968" s="176" t="s">
        <v>358</v>
      </c>
      <c r="D968" s="176" t="s">
        <v>396</v>
      </c>
      <c r="E968" s="176" t="s">
        <v>348</v>
      </c>
      <c r="F968" s="176"/>
      <c r="G968" s="176" t="s">
        <v>360</v>
      </c>
      <c r="H968" s="178" t="s">
        <v>325</v>
      </c>
      <c r="I968" s="175" t="s">
        <v>326</v>
      </c>
      <c r="J968" s="179" t="s">
        <v>326</v>
      </c>
      <c r="K968" s="179"/>
      <c r="L968" s="176" t="s">
        <v>436</v>
      </c>
      <c r="M968" s="180">
        <v>50000</v>
      </c>
      <c r="N968" s="181">
        <v>0</v>
      </c>
      <c r="O968" s="181">
        <v>0</v>
      </c>
      <c r="P968" s="181">
        <v>0</v>
      </c>
      <c r="Q968" s="181">
        <v>0</v>
      </c>
      <c r="R968" s="181">
        <v>0</v>
      </c>
      <c r="S968" s="182">
        <f t="shared" si="56"/>
        <v>50000</v>
      </c>
      <c r="T968" s="183"/>
    </row>
    <row r="969" spans="1:20" ht="11.25">
      <c r="A969" s="175" t="s">
        <v>265</v>
      </c>
      <c r="B969" s="175">
        <v>0</v>
      </c>
      <c r="C969" s="176" t="s">
        <v>399</v>
      </c>
      <c r="D969" s="176" t="s">
        <v>400</v>
      </c>
      <c r="E969" s="176" t="s">
        <v>417</v>
      </c>
      <c r="F969" s="176"/>
      <c r="G969" s="176" t="s">
        <v>334</v>
      </c>
      <c r="H969" s="178" t="s">
        <v>325</v>
      </c>
      <c r="I969" s="175" t="s">
        <v>326</v>
      </c>
      <c r="J969" s="179" t="s">
        <v>326</v>
      </c>
      <c r="K969" s="179"/>
      <c r="L969" s="176" t="s">
        <v>437</v>
      </c>
      <c r="M969" s="180">
        <v>100000</v>
      </c>
      <c r="N969" s="181">
        <v>0</v>
      </c>
      <c r="O969" s="181">
        <v>0</v>
      </c>
      <c r="P969" s="181">
        <v>0</v>
      </c>
      <c r="Q969" s="181">
        <v>0</v>
      </c>
      <c r="R969" s="181">
        <v>0</v>
      </c>
      <c r="S969" s="182">
        <f t="shared" si="56"/>
        <v>100000</v>
      </c>
      <c r="T969" s="183"/>
    </row>
    <row r="970" spans="1:20" ht="11.25">
      <c r="A970" s="175" t="s">
        <v>265</v>
      </c>
      <c r="B970" s="175">
        <v>0</v>
      </c>
      <c r="C970" s="176" t="s">
        <v>355</v>
      </c>
      <c r="D970" s="176" t="s">
        <v>438</v>
      </c>
      <c r="E970" s="177" t="s">
        <v>323</v>
      </c>
      <c r="F970" s="177"/>
      <c r="G970" s="176" t="s">
        <v>324</v>
      </c>
      <c r="H970" s="178" t="s">
        <v>325</v>
      </c>
      <c r="I970" s="175" t="s">
        <v>326</v>
      </c>
      <c r="J970" s="179" t="s">
        <v>326</v>
      </c>
      <c r="K970" s="179"/>
      <c r="L970" s="176" t="s">
        <v>439</v>
      </c>
      <c r="M970" s="180">
        <v>7000</v>
      </c>
      <c r="N970" s="181">
        <v>0</v>
      </c>
      <c r="O970" s="181">
        <v>0</v>
      </c>
      <c r="P970" s="181">
        <v>0</v>
      </c>
      <c r="Q970" s="181">
        <v>0</v>
      </c>
      <c r="R970" s="181">
        <v>0</v>
      </c>
      <c r="S970" s="182">
        <f t="shared" si="56"/>
        <v>7000</v>
      </c>
      <c r="T970" s="183"/>
    </row>
    <row r="971" spans="1:20" ht="11.25">
      <c r="A971" s="175" t="s">
        <v>265</v>
      </c>
      <c r="B971" s="175">
        <v>0</v>
      </c>
      <c r="C971" s="176" t="s">
        <v>358</v>
      </c>
      <c r="D971" s="176" t="s">
        <v>396</v>
      </c>
      <c r="E971" s="176" t="s">
        <v>397</v>
      </c>
      <c r="F971" s="176"/>
      <c r="G971" s="176" t="s">
        <v>324</v>
      </c>
      <c r="H971" s="178" t="s">
        <v>325</v>
      </c>
      <c r="I971" s="175" t="s">
        <v>326</v>
      </c>
      <c r="J971" s="179" t="s">
        <v>326</v>
      </c>
      <c r="K971" s="179"/>
      <c r="L971" s="176" t="s">
        <v>440</v>
      </c>
      <c r="M971" s="180">
        <v>2500</v>
      </c>
      <c r="N971" s="181">
        <v>0</v>
      </c>
      <c r="O971" s="181">
        <v>0</v>
      </c>
      <c r="P971" s="181">
        <v>0</v>
      </c>
      <c r="Q971" s="181">
        <v>0</v>
      </c>
      <c r="R971" s="181">
        <v>0</v>
      </c>
      <c r="S971" s="182">
        <f t="shared" si="56"/>
        <v>2500</v>
      </c>
      <c r="T971" s="183"/>
    </row>
    <row r="972" spans="1:20" ht="11.25">
      <c r="A972" s="175" t="s">
        <v>265</v>
      </c>
      <c r="B972" s="175">
        <v>0</v>
      </c>
      <c r="C972" s="176" t="s">
        <v>358</v>
      </c>
      <c r="D972" s="176" t="s">
        <v>396</v>
      </c>
      <c r="E972" s="177" t="s">
        <v>323</v>
      </c>
      <c r="F972" s="177"/>
      <c r="G972" s="176" t="s">
        <v>324</v>
      </c>
      <c r="H972" s="178" t="s">
        <v>325</v>
      </c>
      <c r="I972" s="175" t="s">
        <v>326</v>
      </c>
      <c r="J972" s="179" t="s">
        <v>326</v>
      </c>
      <c r="K972" s="179"/>
      <c r="L972" s="176" t="s">
        <v>441</v>
      </c>
      <c r="M972" s="180">
        <v>3000</v>
      </c>
      <c r="N972" s="181">
        <v>0</v>
      </c>
      <c r="O972" s="181">
        <v>0</v>
      </c>
      <c r="P972" s="181">
        <v>0</v>
      </c>
      <c r="Q972" s="181">
        <v>0</v>
      </c>
      <c r="R972" s="181">
        <v>0</v>
      </c>
      <c r="S972" s="182">
        <f t="shared" si="56"/>
        <v>3000</v>
      </c>
      <c r="T972" s="183"/>
    </row>
    <row r="973" spans="1:20" ht="11.25">
      <c r="A973" s="175" t="s">
        <v>265</v>
      </c>
      <c r="B973" s="175">
        <v>0</v>
      </c>
      <c r="C973" s="176" t="s">
        <v>355</v>
      </c>
      <c r="D973" s="176" t="s">
        <v>367</v>
      </c>
      <c r="E973" s="176" t="s">
        <v>343</v>
      </c>
      <c r="F973" s="176"/>
      <c r="G973" s="176" t="s">
        <v>324</v>
      </c>
      <c r="H973" s="178" t="s">
        <v>325</v>
      </c>
      <c r="I973" s="175" t="s">
        <v>326</v>
      </c>
      <c r="J973" s="179" t="s">
        <v>326</v>
      </c>
      <c r="K973" s="179"/>
      <c r="L973" s="176" t="s">
        <v>442</v>
      </c>
      <c r="M973" s="180">
        <v>29544.46</v>
      </c>
      <c r="N973" s="181">
        <v>0</v>
      </c>
      <c r="O973" s="181">
        <v>0</v>
      </c>
      <c r="P973" s="181">
        <v>0</v>
      </c>
      <c r="Q973" s="181">
        <v>0</v>
      </c>
      <c r="R973" s="181">
        <v>0</v>
      </c>
      <c r="S973" s="182">
        <f t="shared" si="56"/>
        <v>29544.46</v>
      </c>
      <c r="T973" s="183"/>
    </row>
    <row r="974" spans="1:20" ht="11.25">
      <c r="A974" s="175" t="s">
        <v>265</v>
      </c>
      <c r="B974" s="175">
        <v>0</v>
      </c>
      <c r="C974" s="176" t="s">
        <v>399</v>
      </c>
      <c r="D974" s="176" t="s">
        <v>400</v>
      </c>
      <c r="E974" s="176" t="s">
        <v>348</v>
      </c>
      <c r="F974" s="176"/>
      <c r="G974" s="176" t="s">
        <v>360</v>
      </c>
      <c r="H974" s="178" t="s">
        <v>325</v>
      </c>
      <c r="I974" s="175" t="s">
        <v>326</v>
      </c>
      <c r="J974" s="179" t="s">
        <v>326</v>
      </c>
      <c r="K974" s="179"/>
      <c r="L974" s="176" t="s">
        <v>443</v>
      </c>
      <c r="M974" s="180">
        <v>2000000</v>
      </c>
      <c r="N974" s="181">
        <v>750000</v>
      </c>
      <c r="O974" s="181">
        <v>0</v>
      </c>
      <c r="P974" s="181">
        <v>0</v>
      </c>
      <c r="Q974" s="181">
        <v>0</v>
      </c>
      <c r="R974" s="181">
        <v>0</v>
      </c>
      <c r="S974" s="182">
        <f t="shared" si="56"/>
        <v>1250000</v>
      </c>
      <c r="T974" s="183"/>
    </row>
    <row r="975" spans="1:20" ht="11.25">
      <c r="A975" s="175" t="s">
        <v>265</v>
      </c>
      <c r="B975" s="175">
        <v>0</v>
      </c>
      <c r="C975" s="176" t="s">
        <v>384</v>
      </c>
      <c r="D975" s="176" t="s">
        <v>444</v>
      </c>
      <c r="E975" s="176" t="s">
        <v>338</v>
      </c>
      <c r="F975" s="176"/>
      <c r="G975" s="176" t="s">
        <v>334</v>
      </c>
      <c r="H975" s="178" t="s">
        <v>325</v>
      </c>
      <c r="I975" s="175" t="s">
        <v>326</v>
      </c>
      <c r="J975" s="179" t="s">
        <v>326</v>
      </c>
      <c r="K975" s="179"/>
      <c r="L975" s="176" t="s">
        <v>445</v>
      </c>
      <c r="M975" s="180">
        <v>250000</v>
      </c>
      <c r="N975" s="181">
        <v>0</v>
      </c>
      <c r="O975" s="181">
        <v>0</v>
      </c>
      <c r="P975" s="181">
        <v>0</v>
      </c>
      <c r="Q975" s="181">
        <v>0</v>
      </c>
      <c r="R975" s="181">
        <v>0</v>
      </c>
      <c r="S975" s="182">
        <f t="shared" si="56"/>
        <v>250000</v>
      </c>
      <c r="T975" s="183"/>
    </row>
    <row r="976" spans="1:20" ht="11.25">
      <c r="A976" s="175" t="s">
        <v>265</v>
      </c>
      <c r="B976" s="175">
        <v>0</v>
      </c>
      <c r="C976" s="176" t="s">
        <v>358</v>
      </c>
      <c r="D976" s="176" t="s">
        <v>396</v>
      </c>
      <c r="E976" s="176" t="s">
        <v>348</v>
      </c>
      <c r="F976" s="176"/>
      <c r="G976" s="176" t="s">
        <v>360</v>
      </c>
      <c r="H976" s="178" t="s">
        <v>325</v>
      </c>
      <c r="I976" s="175" t="s">
        <v>326</v>
      </c>
      <c r="J976" s="179" t="s">
        <v>326</v>
      </c>
      <c r="K976" s="179"/>
      <c r="L976" s="176" t="s">
        <v>446</v>
      </c>
      <c r="M976" s="180">
        <v>50000</v>
      </c>
      <c r="N976" s="181">
        <v>0</v>
      </c>
      <c r="O976" s="181">
        <v>0</v>
      </c>
      <c r="P976" s="181">
        <v>0</v>
      </c>
      <c r="Q976" s="181">
        <v>0</v>
      </c>
      <c r="R976" s="181">
        <v>0</v>
      </c>
      <c r="S976" s="182">
        <f t="shared" si="56"/>
        <v>50000</v>
      </c>
      <c r="T976" s="183"/>
    </row>
    <row r="977" spans="1:20" ht="11.25">
      <c r="A977" s="188"/>
      <c r="B977" s="183"/>
      <c r="C977" s="183"/>
      <c r="D977" s="183"/>
      <c r="E977" s="183"/>
      <c r="F977" s="183"/>
      <c r="G977" s="183"/>
      <c r="H977" s="183"/>
      <c r="I977" s="188"/>
      <c r="J977" s="188"/>
      <c r="K977" s="188"/>
      <c r="L977" s="183"/>
      <c r="M977" s="189"/>
      <c r="N977" s="189"/>
      <c r="O977" s="189"/>
      <c r="P977" s="189"/>
      <c r="Q977" s="189"/>
      <c r="R977" s="189"/>
      <c r="S977" s="183"/>
      <c r="T977" s="183"/>
    </row>
    <row r="978" spans="1:20" ht="11.25">
      <c r="A978" s="188"/>
      <c r="B978" s="183"/>
      <c r="C978" s="183"/>
      <c r="D978" s="183"/>
      <c r="E978" s="183"/>
      <c r="F978" s="183"/>
      <c r="G978" s="183"/>
      <c r="H978" s="183"/>
      <c r="I978" s="188"/>
      <c r="J978" s="188"/>
      <c r="K978" s="188"/>
      <c r="L978" s="183"/>
      <c r="M978" s="190">
        <f aca="true" t="shared" si="57" ref="M978:S978">SUBTOTAL(9,M7:M977)</f>
        <v>1643384949.0926523</v>
      </c>
      <c r="N978" s="190">
        <f t="shared" si="57"/>
        <v>81939315.22323175</v>
      </c>
      <c r="O978" s="190">
        <f t="shared" si="57"/>
        <v>0</v>
      </c>
      <c r="P978" s="190">
        <f t="shared" si="57"/>
        <v>72682415.35611328</v>
      </c>
      <c r="Q978" s="190">
        <f t="shared" si="57"/>
        <v>380356774.37041485</v>
      </c>
      <c r="R978" s="190">
        <f t="shared" si="57"/>
        <v>10193727.769464843</v>
      </c>
      <c r="S978" s="190">
        <f t="shared" si="57"/>
        <v>1098212716.3734276</v>
      </c>
      <c r="T978" s="183"/>
    </row>
    <row r="981" ht="11.25">
      <c r="M981" s="245"/>
    </row>
    <row r="982" ht="11.25">
      <c r="P982" s="170">
        <f>ROUND(P978/1000,0)</f>
        <v>72682</v>
      </c>
    </row>
    <row r="983" spans="12:13" ht="11.25">
      <c r="L983" s="164" t="s">
        <v>486</v>
      </c>
      <c r="M983" s="247">
        <v>28843215.875</v>
      </c>
    </row>
    <row r="984" spans="1:18" ht="11.25">
      <c r="A984" s="164"/>
      <c r="I984" s="164"/>
      <c r="J984" s="164"/>
      <c r="K984" s="164"/>
      <c r="L984" s="164" t="s">
        <v>487</v>
      </c>
      <c r="M984" s="247">
        <f>S978</f>
        <v>1098212716.3734276</v>
      </c>
      <c r="N984" s="164"/>
      <c r="O984" s="164"/>
      <c r="P984" s="164"/>
      <c r="Q984" s="164"/>
      <c r="R984" s="164"/>
    </row>
    <row r="986" spans="12:13" ht="11.25">
      <c r="L986" s="164" t="s">
        <v>488</v>
      </c>
      <c r="M986" s="170">
        <f>M984-M983</f>
        <v>1069369500.4984276</v>
      </c>
    </row>
    <row r="987" ht="11.25">
      <c r="M987" s="170">
        <v>585000</v>
      </c>
    </row>
    <row r="989" ht="11.25">
      <c r="M989" s="170">
        <f>SUBTOTAL(9,M986:M988)</f>
        <v>1069954500.4984276</v>
      </c>
    </row>
    <row r="995" spans="12:13" ht="11.25">
      <c r="L995" s="164" t="s">
        <v>488</v>
      </c>
      <c r="M995" s="170">
        <v>448000</v>
      </c>
    </row>
    <row r="996" spans="12:13" ht="11.25">
      <c r="L996" s="164" t="s">
        <v>489</v>
      </c>
      <c r="M996" s="170">
        <v>585000</v>
      </c>
    </row>
    <row r="998" ht="11.25">
      <c r="M998" s="250">
        <f>SUBTOTAL(9,M995:M997)</f>
        <v>1033000</v>
      </c>
    </row>
  </sheetData>
  <sheetProtection/>
  <autoFilter ref="A6:T976"/>
  <mergeCells count="2">
    <mergeCell ref="A1:S1"/>
    <mergeCell ref="A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Ballarat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Kallio</dc:creator>
  <cp:keywords/>
  <dc:description/>
  <cp:lastModifiedBy>Glenn Kallio</cp:lastModifiedBy>
  <cp:lastPrinted>2016-03-03T21:53:09Z</cp:lastPrinted>
  <dcterms:created xsi:type="dcterms:W3CDTF">2000-11-06T01:39:37Z</dcterms:created>
  <dcterms:modified xsi:type="dcterms:W3CDTF">2016-03-30T23:12:04Z</dcterms:modified>
  <cp:category/>
  <cp:version/>
  <cp:contentType/>
  <cp:contentStatus/>
</cp:coreProperties>
</file>